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Laurens\Documents\Minor Waterbouw\OP2_Delta\"/>
    </mc:Choice>
  </mc:AlternateContent>
  <xr:revisionPtr revIDLastSave="0" documentId="8_{7A8FC846-4CE8-49D2-91FD-F2FD8173B646}" xr6:coauthVersionLast="36" xr6:coauthVersionMax="36" xr10:uidLastSave="{00000000-0000-0000-0000-000000000000}"/>
  <bookViews>
    <workbookView xWindow="0" yWindow="0" windowWidth="23040" windowHeight="9060" xr2:uid="{00000000-000D-0000-FFFF-FFFF00000000}"/>
  </bookViews>
  <sheets>
    <sheet name="Introduction" sheetId="7" r:id="rId1"/>
    <sheet name="Soil_charateristics" sheetId="3" r:id="rId2"/>
    <sheet name="1__Current_Ground_Structure" sheetId="4" r:id="rId3"/>
    <sheet name="2__Load new road construction" sheetId="5" r:id="rId4"/>
    <sheet name="2_Pictures" sheetId="8" state="hidden" r:id="rId5"/>
    <sheet name="3__Output_soil_subsidence" sheetId="6" r:id="rId6"/>
  </sheets>
  <definedNames>
    <definedName name="_xlnm._FilterDatabase" localSheetId="2" hidden="1">'1__Current_Ground_Structure'!$C$8:$M$14</definedName>
    <definedName name="Afbeeldingen_solutions">'2_Pictures'!$B$1:$B$6</definedName>
    <definedName name="_xlnm.Print_Area" localSheetId="2">'1__Current_Ground_Structure'!$B$2:$N$85</definedName>
    <definedName name="_xlnm.Print_Area" localSheetId="3">'2__Load new road construction'!$B$2:$I$25</definedName>
    <definedName name="_xlnm.Print_Area" localSheetId="5">'3__Output_soil_subsidence'!$B$2:$N$50</definedName>
    <definedName name="_xlnm.Print_Area" localSheetId="0">Introduction!$B$2:$M$46</definedName>
    <definedName name="_xlnm.Print_Area" localSheetId="1">Soil_charateristics!$B$2:$O$25</definedName>
    <definedName name="Productafbeelding">INDIRECT('2__Load new road construction'!$C$17)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3" i="6" l="1"/>
  <c r="E14" i="6"/>
  <c r="E15" i="6"/>
  <c r="E16" i="6"/>
  <c r="E17" i="6"/>
  <c r="C17" i="5" l="1"/>
  <c r="D14" i="5" l="1"/>
  <c r="D12" i="5"/>
  <c r="H5" i="5" l="1"/>
  <c r="D6" i="6" s="1"/>
  <c r="L13" i="3"/>
  <c r="N13" i="3"/>
  <c r="N14" i="3"/>
  <c r="L14" i="3"/>
  <c r="L15" i="3"/>
  <c r="N15" i="3"/>
  <c r="N16" i="3"/>
  <c r="L16" i="3"/>
  <c r="H6" i="5" l="1"/>
  <c r="E9" i="4" s="1"/>
  <c r="F5" i="4" s="1"/>
  <c r="C17" i="6"/>
  <c r="C16" i="6"/>
  <c r="C15" i="6"/>
  <c r="C14" i="6"/>
  <c r="C13" i="6"/>
  <c r="G13" i="4" l="1"/>
  <c r="G12" i="4"/>
  <c r="G11" i="4"/>
  <c r="G10" i="4"/>
  <c r="G9" i="4"/>
  <c r="M13" i="4"/>
  <c r="K17" i="6" s="1"/>
  <c r="L13" i="4"/>
  <c r="J17" i="6" s="1"/>
  <c r="K13" i="4"/>
  <c r="I17" i="6" s="1"/>
  <c r="J13" i="4"/>
  <c r="H17" i="6" s="1"/>
  <c r="I13" i="4"/>
  <c r="H13" i="4"/>
  <c r="M12" i="4"/>
  <c r="K16" i="6" s="1"/>
  <c r="L12" i="4"/>
  <c r="J16" i="6" s="1"/>
  <c r="K12" i="4"/>
  <c r="I16" i="6" s="1"/>
  <c r="J12" i="4"/>
  <c r="H16" i="6" s="1"/>
  <c r="I12" i="4"/>
  <c r="H12" i="4"/>
  <c r="M11" i="4"/>
  <c r="K15" i="6" s="1"/>
  <c r="L11" i="4"/>
  <c r="J15" i="6" s="1"/>
  <c r="K11" i="4"/>
  <c r="I15" i="6" s="1"/>
  <c r="J11" i="4"/>
  <c r="H15" i="6" s="1"/>
  <c r="I11" i="4"/>
  <c r="H11" i="4"/>
  <c r="M10" i="4"/>
  <c r="K14" i="6" s="1"/>
  <c r="L10" i="4"/>
  <c r="J14" i="6" s="1"/>
  <c r="K10" i="4"/>
  <c r="I14" i="6" s="1"/>
  <c r="J10" i="4"/>
  <c r="H14" i="6" s="1"/>
  <c r="I10" i="4"/>
  <c r="H10" i="4"/>
  <c r="M9" i="4"/>
  <c r="K13" i="6" s="1"/>
  <c r="L9" i="4"/>
  <c r="J13" i="6" s="1"/>
  <c r="K9" i="4"/>
  <c r="I13" i="6" s="1"/>
  <c r="J9" i="4"/>
  <c r="H13" i="6" s="1"/>
  <c r="I9" i="4"/>
  <c r="H9" i="4"/>
  <c r="D5" i="6" l="1"/>
  <c r="D13" i="5" l="1"/>
  <c r="D7" i="6" s="1"/>
  <c r="D83" i="4"/>
  <c r="C73" i="4"/>
  <c r="D69" i="4"/>
  <c r="C59" i="4"/>
  <c r="D55" i="4"/>
  <c r="C45" i="4"/>
  <c r="D41" i="4"/>
  <c r="C31" i="4"/>
  <c r="D28" i="4"/>
  <c r="D13" i="6" s="1"/>
  <c r="D27" i="4"/>
  <c r="D25" i="4"/>
  <c r="C17" i="4"/>
  <c r="E13" i="4"/>
  <c r="D84" i="4" s="1"/>
  <c r="E12" i="4"/>
  <c r="D67" i="4" s="1"/>
  <c r="E11" i="4"/>
  <c r="D56" i="4" s="1"/>
  <c r="E10" i="4"/>
  <c r="D42" i="4" s="1"/>
  <c r="G4" i="4"/>
  <c r="D54" i="4" l="1"/>
  <c r="D48" i="4" s="1"/>
  <c r="D40" i="4"/>
  <c r="D34" i="4" s="1"/>
  <c r="D26" i="4"/>
  <c r="D20" i="4" s="1"/>
  <c r="D21" i="4" s="1"/>
  <c r="D82" i="4"/>
  <c r="D76" i="4" s="1"/>
  <c r="D70" i="4"/>
  <c r="D16" i="6" s="1"/>
  <c r="D39" i="4"/>
  <c r="D14" i="6"/>
  <c r="D17" i="6"/>
  <c r="D15" i="6"/>
  <c r="D81" i="4"/>
  <c r="D53" i="4"/>
  <c r="D35" i="4" l="1"/>
  <c r="D49" i="4" s="1"/>
  <c r="D18" i="4"/>
  <c r="D19" i="4" s="1"/>
  <c r="D68" i="4"/>
  <c r="D62" i="4" s="1"/>
  <c r="D32" i="4"/>
  <c r="D36" i="4" s="1"/>
  <c r="D46" i="4"/>
  <c r="D50" i="4" s="1"/>
  <c r="D74" i="4"/>
  <c r="D78" i="4" s="1"/>
  <c r="D22" i="4" l="1"/>
  <c r="D23" i="4" s="1"/>
  <c r="F13" i="6" s="1"/>
  <c r="D60" i="4"/>
  <c r="D64" i="4" s="1"/>
  <c r="D33" i="4"/>
  <c r="D47" i="4" s="1"/>
  <c r="D61" i="4" l="1"/>
  <c r="D75" i="4" s="1"/>
  <c r="D37" i="4"/>
  <c r="F14" i="6" s="1"/>
  <c r="G13" i="6"/>
  <c r="L13" i="6" s="1"/>
  <c r="D63" i="4"/>
  <c r="D77" i="4" s="1"/>
  <c r="G14" i="6" l="1"/>
  <c r="L14" i="6" s="1"/>
  <c r="D51" i="4"/>
  <c r="F15" i="6" s="1"/>
  <c r="G15" i="6" l="1"/>
  <c r="L15" i="6" s="1"/>
  <c r="D65" i="4"/>
  <c r="F16" i="6" s="1"/>
  <c r="G16" i="6" l="1"/>
  <c r="L16" i="6" s="1"/>
  <c r="D79" i="4"/>
  <c r="F17" i="6" s="1"/>
  <c r="G17" i="6" l="1"/>
  <c r="L17" i="6" s="1"/>
  <c r="M17" i="6" s="1"/>
  <c r="M16" i="6" s="1"/>
  <c r="M15" i="6" s="1"/>
  <c r="M14" i="6" s="1"/>
  <c r="M13" i="6" s="1"/>
  <c r="M1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fish</author>
  </authors>
  <commentList>
    <comment ref="H5" authorId="0" shapeId="0" xr:uid="{B54F2713-340E-4B7A-BD06-8E604AF76FEC}">
      <text>
        <r>
          <rPr>
            <sz val="9"/>
            <color indexed="81"/>
            <rFont val="Tahoma"/>
            <family val="2"/>
          </rPr>
          <t xml:space="preserve">The presonsolidation pressure depents on the value from the soil research.  </t>
        </r>
      </text>
    </comment>
    <comment ref="D17" authorId="0" shapeId="0" xr:uid="{F019BDFD-7021-4CE5-B35D-AAB56B23ABEE}">
      <text>
        <r>
          <rPr>
            <sz val="9"/>
            <color indexed="81"/>
            <rFont val="Tahoma"/>
            <family val="2"/>
          </rPr>
          <t xml:space="preserve">In this cell there is space for new layers.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fish</author>
  </authors>
  <commentList>
    <comment ref="F4" authorId="0" shapeId="0" xr:uid="{F4E9E548-FC75-460A-9A64-0C614F2D5914}">
      <text>
        <r>
          <rPr>
            <sz val="9"/>
            <color indexed="81"/>
            <rFont val="Tahoma"/>
            <family val="2"/>
          </rPr>
          <t>Fill in the groundwater table.</t>
        </r>
      </text>
    </comment>
    <comment ref="D9" authorId="0" shapeId="0" xr:uid="{59389BD9-C0BD-4632-93E7-400C3D0E0776}">
      <text>
        <r>
          <rPr>
            <sz val="9"/>
            <color indexed="81"/>
            <rFont val="Tahoma"/>
            <family val="2"/>
          </rPr>
          <t>Choose the soil from tab (Soil_charistics)</t>
        </r>
      </text>
    </comment>
    <comment ref="F9" authorId="0" shapeId="0" xr:uid="{B2D8A34D-4A6F-4D0A-BEE1-D1F640ED3076}">
      <text>
        <r>
          <rPr>
            <sz val="9"/>
            <color indexed="81"/>
            <rFont val="Tahoma"/>
            <family val="2"/>
          </rPr>
          <t>Fill in the height of the layer related to the surface level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fish</author>
  </authors>
  <commentList>
    <comment ref="B2" authorId="0" shapeId="0" xr:uid="{69C97A33-A992-4DD4-A07F-979CCF3EC66A}">
      <text>
        <r>
          <rPr>
            <sz val="9"/>
            <color indexed="81"/>
            <rFont val="Tahoma"/>
            <family val="2"/>
          </rPr>
          <t>Choose the road construction.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fish</author>
  </authors>
  <commentList>
    <comment ref="D9" authorId="0" shapeId="0" xr:uid="{0D5C92B8-BC64-4040-9AA9-499A3C5DA723}">
      <text>
        <r>
          <rPr>
            <sz val="9"/>
            <color indexed="81"/>
            <rFont val="Tahoma"/>
            <family val="2"/>
          </rPr>
          <t>Fill in the number of days for subsidence calculation</t>
        </r>
      </text>
    </comment>
  </commentList>
</comments>
</file>

<file path=xl/sharedStrings.xml><?xml version="1.0" encoding="utf-8"?>
<sst xmlns="http://schemas.openxmlformats.org/spreadsheetml/2006/main" count="186" uniqueCount="116">
  <si>
    <t>Different soil types</t>
  </si>
  <si>
    <t>Soil type</t>
  </si>
  <si>
    <r>
      <t>σ</t>
    </r>
    <r>
      <rPr>
        <b/>
        <sz val="8"/>
        <color rgb="FF000000"/>
        <rFont val="Calibri"/>
        <family val="2"/>
      </rPr>
      <t>pore pressure not filled with water</t>
    </r>
    <r>
      <rPr>
        <b/>
        <sz val="11"/>
        <color rgb="FF000000"/>
        <rFont val="Calibri"/>
        <family val="2"/>
      </rPr>
      <t xml:space="preserve"> </t>
    </r>
    <r>
      <rPr>
        <b/>
        <sz val="10"/>
        <color rgb="FF000000"/>
        <rFont val="Calibri"/>
        <family val="2"/>
      </rPr>
      <t>(KN/m2)</t>
    </r>
  </si>
  <si>
    <r>
      <t>σ</t>
    </r>
    <r>
      <rPr>
        <b/>
        <sz val="8"/>
        <color rgb="FF000000"/>
        <rFont val="Calibri"/>
        <family val="2"/>
      </rPr>
      <t>pore pressure filled with water</t>
    </r>
    <r>
      <rPr>
        <b/>
        <sz val="11"/>
        <color rgb="FF000000"/>
        <rFont val="Calibri"/>
        <family val="2"/>
      </rPr>
      <t xml:space="preserve"> </t>
    </r>
    <r>
      <rPr>
        <b/>
        <sz val="10"/>
        <color rgb="FF000000"/>
        <rFont val="Calibri"/>
        <family val="2"/>
      </rPr>
      <t>(KN/m2)</t>
    </r>
  </si>
  <si>
    <t>Cp</t>
  </si>
  <si>
    <t>Cs</t>
  </si>
  <si>
    <t>C'p</t>
  </si>
  <si>
    <t>C's</t>
  </si>
  <si>
    <t>0.5</t>
  </si>
  <si>
    <t>Medium Sand</t>
  </si>
  <si>
    <t>4-10</t>
  </si>
  <si>
    <t>-</t>
  </si>
  <si>
    <t>4-8</t>
  </si>
  <si>
    <t>10-30</t>
  </si>
  <si>
    <t>Tab 1 - Current Ground structure</t>
  </si>
  <si>
    <t>Editable cells</t>
  </si>
  <si>
    <t>Control cells</t>
  </si>
  <si>
    <t>Groundwater level (related to ground level)</t>
  </si>
  <si>
    <r>
      <t>σ</t>
    </r>
    <r>
      <rPr>
        <sz val="8"/>
        <color rgb="FF000000"/>
        <rFont val="Calibri"/>
        <family val="2"/>
      </rPr>
      <t>groundwater pressure</t>
    </r>
    <r>
      <rPr>
        <sz val="11"/>
        <color rgb="FF000000"/>
        <rFont val="Calibri"/>
        <family val="2"/>
      </rPr>
      <t xml:space="preserve"> (KN/m2)</t>
    </r>
  </si>
  <si>
    <t>Soil types</t>
  </si>
  <si>
    <t>Top level of layer</t>
  </si>
  <si>
    <t>Bottom level of layer</t>
  </si>
  <si>
    <t>Layer 1</t>
  </si>
  <si>
    <t>Layer 2</t>
  </si>
  <si>
    <t>Layer 3</t>
  </si>
  <si>
    <t>Layer 4</t>
  </si>
  <si>
    <t>Layer 5</t>
  </si>
  <si>
    <t>*All parameters are related to surface level</t>
  </si>
  <si>
    <t>Soil Layer 1</t>
  </si>
  <si>
    <t>Pressure graph</t>
  </si>
  <si>
    <r>
      <t>σ</t>
    </r>
    <r>
      <rPr>
        <sz val="8"/>
        <color rgb="FF000000"/>
        <rFont val="Calibri"/>
        <family val="2"/>
      </rPr>
      <t>soil pressure</t>
    </r>
  </si>
  <si>
    <r>
      <t>Ʃ σ</t>
    </r>
    <r>
      <rPr>
        <b/>
        <sz val="8"/>
        <color rgb="FF000000"/>
        <rFont val="Calibri"/>
        <family val="2"/>
      </rPr>
      <t>soil pressure</t>
    </r>
  </si>
  <si>
    <r>
      <t>σ</t>
    </r>
    <r>
      <rPr>
        <sz val="8"/>
        <color rgb="FF000000"/>
        <rFont val="Calibri"/>
        <family val="2"/>
      </rPr>
      <t>water pressure</t>
    </r>
  </si>
  <si>
    <r>
      <t>Ʃ σ</t>
    </r>
    <r>
      <rPr>
        <b/>
        <sz val="8"/>
        <color rgb="FF000000"/>
        <rFont val="Calibri"/>
        <family val="2"/>
      </rPr>
      <t>water pressure</t>
    </r>
  </si>
  <si>
    <r>
      <t>σ</t>
    </r>
    <r>
      <rPr>
        <sz val="8"/>
        <color rgb="FF000000"/>
        <rFont val="Calibri"/>
        <family val="2"/>
      </rPr>
      <t>effective grain pressure</t>
    </r>
  </si>
  <si>
    <r>
      <t>Ʃ σ</t>
    </r>
    <r>
      <rPr>
        <b/>
        <sz val="8"/>
        <color rgb="FF000000"/>
        <rFont val="Calibri"/>
        <family val="2"/>
      </rPr>
      <t>effective grain pressure</t>
    </r>
  </si>
  <si>
    <t>Heights and thickness</t>
  </si>
  <si>
    <t>Startingpoint layer A</t>
  </si>
  <si>
    <t>Height ground water</t>
  </si>
  <si>
    <t>Bottom level layer A</t>
  </si>
  <si>
    <t>Layer thickness</t>
  </si>
  <si>
    <t>Soil Layer 2</t>
  </si>
  <si>
    <t>Soil Layer 3</t>
  </si>
  <si>
    <t>Soil Layer 4</t>
  </si>
  <si>
    <t>Soil Layer 5</t>
  </si>
  <si>
    <t>New situation</t>
  </si>
  <si>
    <t>Tab - 3 Output soil subsidence</t>
  </si>
  <si>
    <t>Layer</t>
  </si>
  <si>
    <t>Chosen solution</t>
  </si>
  <si>
    <t>Chosen solution:</t>
  </si>
  <si>
    <t>Subsidence</t>
  </si>
  <si>
    <t>Load (KN/m2)</t>
  </si>
  <si>
    <t>New road construction</t>
  </si>
  <si>
    <t>Time of subsidence calculated (in days)</t>
  </si>
  <si>
    <t>Tab 2 - Load new road construction</t>
  </si>
  <si>
    <t>Underneath the most frequent occuring soil types</t>
  </si>
  <si>
    <t>5-10</t>
  </si>
  <si>
    <t>3-5</t>
  </si>
  <si>
    <t>5-7</t>
  </si>
  <si>
    <t>Cone resistance</t>
  </si>
  <si>
    <t>Friction number (%)</t>
  </si>
  <si>
    <t>Frictional resistance (N/mm²)</t>
  </si>
  <si>
    <t>Clay weak, silty  </t>
  </si>
  <si>
    <t>Clay , silty</t>
  </si>
  <si>
    <t>Clay, Humeus</t>
  </si>
  <si>
    <t>Clay weak, sandy</t>
  </si>
  <si>
    <t>Clay, sandy</t>
  </si>
  <si>
    <t>Loose Sand, silty</t>
  </si>
  <si>
    <t>Sand silty, loam</t>
  </si>
  <si>
    <t>Coarse Sand</t>
  </si>
  <si>
    <t>Peaty clay</t>
  </si>
  <si>
    <t>Nr.</t>
  </si>
  <si>
    <t>1-4</t>
  </si>
  <si>
    <t>Preconsolidation pressure</t>
  </si>
  <si>
    <t>Introduction</t>
  </si>
  <si>
    <t>Subsidence calculation table</t>
  </si>
  <si>
    <t>Total subsidence</t>
  </si>
  <si>
    <t>Objective:</t>
  </si>
  <si>
    <t>Theorie and formula of Koppejan:</t>
  </si>
  <si>
    <t>ǩ</t>
  </si>
  <si>
    <t>Weight solution kg</t>
  </si>
  <si>
    <t>Height on top of layer 1</t>
  </si>
  <si>
    <t>Thickness solution</t>
  </si>
  <si>
    <r>
      <t>Ʃ σ</t>
    </r>
    <r>
      <rPr>
        <b/>
        <sz val="8"/>
        <color rgb="FF000000"/>
        <rFont val="Calibri"/>
        <family val="2"/>
      </rPr>
      <t>effective grain pressure</t>
    </r>
    <r>
      <rPr>
        <b/>
        <sz val="11"/>
        <color rgb="FF000000"/>
        <rFont val="Calibri"/>
        <family val="2"/>
      </rPr>
      <t xml:space="preserve"> </t>
    </r>
    <r>
      <rPr>
        <b/>
        <sz val="10"/>
        <color rgb="FF000000"/>
        <rFont val="Calibri"/>
        <family val="2"/>
      </rPr>
      <t>(KN/m2)</t>
    </r>
  </si>
  <si>
    <t>Groundwater level (after excavation)</t>
  </si>
  <si>
    <t>Height of top road related to layer 1</t>
  </si>
  <si>
    <t>New layer 1</t>
  </si>
  <si>
    <t>New layer 2</t>
  </si>
  <si>
    <t>New layer 8</t>
  </si>
  <si>
    <t>New layer 3</t>
  </si>
  <si>
    <t>New layer 4</t>
  </si>
  <si>
    <t>New layer 5</t>
  </si>
  <si>
    <t>New layer 6</t>
  </si>
  <si>
    <t>New layer 7</t>
  </si>
  <si>
    <t>Ʃ Subsidence</t>
  </si>
  <si>
    <t>Subsidence graph</t>
  </si>
  <si>
    <t>Solution 1</t>
  </si>
  <si>
    <t>Solution 3</t>
  </si>
  <si>
    <t>Solution 2</t>
  </si>
  <si>
    <t>Solution 4</t>
  </si>
  <si>
    <t>Solution 5</t>
  </si>
  <si>
    <t>Solution 6</t>
  </si>
  <si>
    <t>Picture of the solution</t>
  </si>
  <si>
    <t>Hrdelta</t>
  </si>
  <si>
    <t>Force (in KN)</t>
  </si>
  <si>
    <t xml:space="preserve">The objective of this excel sheet is to calculate the subsidence of six different types of road constructions. These road constructions each have the objective to reduce the subsidence of the road. The six different types of road constructions are described in the professional article. </t>
  </si>
  <si>
    <t>Peat</t>
  </si>
  <si>
    <t>Possible road constructions:</t>
  </si>
  <si>
    <t>Excavation height of layer 1</t>
  </si>
  <si>
    <t>If the preconsolidation pressure is bigger than the load of the road construction the following formula is used:</t>
  </si>
  <si>
    <r>
      <t>To calculate the subsidence the theorie and formula of Koppejan is applied. Depending on whether the load of the road construction is bigger than the preconsolidation pressure (P</t>
    </r>
    <r>
      <rPr>
        <sz val="9"/>
        <color rgb="FF000000"/>
        <rFont val="Calibri"/>
        <family val="2"/>
      </rPr>
      <t>g</t>
    </r>
    <r>
      <rPr>
        <sz val="11"/>
        <color rgb="FF000000"/>
        <rFont val="Calibri"/>
        <family val="2"/>
      </rPr>
      <t>), the following formula is used:</t>
    </r>
  </si>
  <si>
    <r>
      <t>The parameters in the formulas above are:
Z</t>
    </r>
    <r>
      <rPr>
        <sz val="9"/>
        <color rgb="FF000000"/>
        <rFont val="Calibri"/>
        <family val="2"/>
      </rPr>
      <t xml:space="preserve">z+i </t>
    </r>
    <r>
      <rPr>
        <sz val="11"/>
        <color rgb="FF000000"/>
        <rFont val="Calibri"/>
        <family val="2"/>
      </rPr>
      <t>= Subsidence of the layer (metres)
d = Layer thickness (metres)
Pg = preconsolidation pressure (KN/m2)
σ</t>
    </r>
    <r>
      <rPr>
        <sz val="8"/>
        <color rgb="FF000000"/>
        <rFont val="Calibri"/>
        <family val="2"/>
      </rPr>
      <t>k</t>
    </r>
    <r>
      <rPr>
        <sz val="11"/>
        <color rgb="FF000000"/>
        <rFont val="Calibri"/>
        <family val="2"/>
      </rPr>
      <t xml:space="preserve"> = ǩ = Average grainpressure per layer (KN/m2)
Δσ</t>
    </r>
    <r>
      <rPr>
        <sz val="8"/>
        <color rgb="FF000000"/>
        <rFont val="Calibri"/>
        <family val="2"/>
      </rPr>
      <t xml:space="preserve">k </t>
    </r>
    <r>
      <rPr>
        <sz val="11"/>
        <color rgb="FF000000"/>
        <rFont val="Calibri"/>
        <family val="2"/>
      </rPr>
      <t>= Load (KN/m2)
Cp</t>
    </r>
    <r>
      <rPr>
        <sz val="8"/>
        <color rgb="FF000000"/>
        <rFont val="Calibri"/>
        <family val="2"/>
      </rPr>
      <t>1</t>
    </r>
    <r>
      <rPr>
        <sz val="11"/>
        <color rgb="FF000000"/>
        <rFont val="Calibri"/>
        <family val="2"/>
      </rPr>
      <t>= Cp = Primary compression coefficient below preconsolidation pressure (-)
Cs</t>
    </r>
    <r>
      <rPr>
        <sz val="8"/>
        <color rgb="FF000000"/>
        <rFont val="Calibri"/>
        <family val="2"/>
      </rPr>
      <t>1</t>
    </r>
    <r>
      <rPr>
        <sz val="9"/>
        <color rgb="FF000000"/>
        <rFont val="Calibri"/>
        <family val="2"/>
      </rPr>
      <t xml:space="preserve"> </t>
    </r>
    <r>
      <rPr>
        <sz val="11"/>
        <color rgb="FF000000"/>
        <rFont val="Calibri"/>
        <family val="2"/>
      </rPr>
      <t>= Cs = Secular compression coefficient below preconsolidation pressure (-)
Cp2 = C'p = Primary compression coefficient above preconsolidation pressure (-)
Cs2 = C's = Secular compression coefficient above preconsolidation presssure (-)
t = Time of subsidence calculated (days)
t</t>
    </r>
    <r>
      <rPr>
        <sz val="8"/>
        <color rgb="FF000000"/>
        <rFont val="Calibri"/>
        <family val="2"/>
      </rPr>
      <t>0</t>
    </r>
    <r>
      <rPr>
        <sz val="11"/>
        <color rgb="FF000000"/>
        <rFont val="Calibri"/>
        <family val="2"/>
      </rPr>
      <t xml:space="preserve"> = 1
</t>
    </r>
  </si>
  <si>
    <t>Remarks:</t>
  </si>
  <si>
    <t>The editable and control cells are marked the following in this excel sheet:</t>
  </si>
  <si>
    <t>Password: HRdelta</t>
  </si>
  <si>
    <t xml:space="preserve"> -The Pg, Cp, Cs, C'p &amp; C's values are depending on the project location;                                                                                 
 -The height of the current road contruction is ca. 1,4 metres. If a new road construction is bigger than the 1,4m the first layer will be excavated. How much this layer will be excavated depends on the hieght of the new road construction;
 -This excel sheet cannot be used to calculate subsidence due to a reduction in groundwaterlevel.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</si>
</sst>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000_ ;_ * \-#,##0.000_ ;_ * &quot;-&quot;??_ ;_ @_ "/>
    <numFmt numFmtId="165" formatCode="0.0"/>
    <numFmt numFmtId="166" formatCode="0E+00"/>
    <numFmt numFmtId="167" formatCode="_ * #,##0.000_ ;_ * \-#,##0.000_ ;_ * &quot;-&quot;???_ ;_ @_ "/>
  </numFmts>
  <fonts count="16" x14ac:knownFonts="1">
    <font>
      <sz val="11"/>
      <color rgb="FF000000"/>
      <name val="Calibri"/>
      <family val="2"/>
    </font>
    <font>
      <sz val="11"/>
      <color rgb="FF000000"/>
      <name val="Calibri"/>
      <family val="2"/>
    </font>
    <font>
      <b/>
      <sz val="12"/>
      <color rgb="FF000000"/>
      <name val="Calibri"/>
      <family val="2"/>
    </font>
    <font>
      <u/>
      <sz val="11"/>
      <color rgb="FF000000"/>
      <name val="Calibri"/>
      <family val="2"/>
    </font>
    <font>
      <b/>
      <sz val="11"/>
      <color rgb="FF000000"/>
      <name val="Calibri"/>
      <family val="2"/>
    </font>
    <font>
      <b/>
      <sz val="8"/>
      <color rgb="FF000000"/>
      <name val="Calibri"/>
      <family val="2"/>
    </font>
    <font>
      <b/>
      <sz val="10"/>
      <color rgb="FF000000"/>
      <name val="Calibri"/>
      <family val="2"/>
    </font>
    <font>
      <i/>
      <sz val="11"/>
      <color rgb="FF000000"/>
      <name val="Calibri"/>
      <family val="2"/>
    </font>
    <font>
      <b/>
      <sz val="14"/>
      <color rgb="FF000000"/>
      <name val="Calibri"/>
      <family val="2"/>
    </font>
    <font>
      <sz val="8"/>
      <color rgb="FF000000"/>
      <name val="Calibri"/>
      <family val="2"/>
    </font>
    <font>
      <sz val="8"/>
      <color rgb="FF000000"/>
      <name val="Segoe UI"/>
      <family val="2"/>
    </font>
    <font>
      <b/>
      <u/>
      <sz val="11"/>
      <color rgb="FF000000"/>
      <name val="Calibri"/>
      <family val="2"/>
    </font>
    <font>
      <u val="singleAccounting"/>
      <sz val="11"/>
      <color rgb="FF000000"/>
      <name val="Calibri"/>
      <family val="2"/>
    </font>
    <font>
      <sz val="9"/>
      <color rgb="FF000000"/>
      <name val="Calibri"/>
      <family val="2"/>
    </font>
    <font>
      <sz val="9"/>
      <color indexed="81"/>
      <name val="Tahoma"/>
      <family val="2"/>
    </font>
    <font>
      <b/>
      <sz val="12"/>
      <color rgb="FFFF0000"/>
      <name val="Calibri"/>
      <family val="2"/>
    </font>
  </fonts>
  <fills count="5">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FFFF00"/>
        <bgColor indexed="64"/>
      </patternFill>
    </fill>
  </fills>
  <borders count="56">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indexed="64"/>
      </bottom>
      <diagonal/>
    </border>
    <border>
      <left/>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1" fillId="0" borderId="0" applyNumberFormat="0" applyFont="0" applyBorder="0" applyProtection="0"/>
    <xf numFmtId="43" fontId="1" fillId="0" borderId="0" applyFont="0" applyFill="0" applyBorder="0" applyAlignment="0" applyProtection="0"/>
  </cellStyleXfs>
  <cellXfs count="253">
    <xf numFmtId="0" fontId="0" fillId="0" borderId="0" xfId="0"/>
    <xf numFmtId="0" fontId="0" fillId="0" borderId="0" xfId="0" applyFill="1"/>
    <xf numFmtId="0" fontId="0" fillId="0" borderId="0" xfId="0" applyFill="1" applyAlignment="1">
      <alignment horizontal="center" wrapText="1"/>
    </xf>
    <xf numFmtId="0" fontId="4" fillId="0" borderId="0" xfId="0" applyFont="1" applyFill="1"/>
    <xf numFmtId="0" fontId="0" fillId="0" borderId="0" xfId="0" applyFill="1"/>
    <xf numFmtId="0" fontId="4" fillId="0" borderId="6" xfId="0" applyFont="1" applyFill="1" applyBorder="1" applyAlignment="1">
      <alignment horizontal="center"/>
    </xf>
    <xf numFmtId="0" fontId="0" fillId="0" borderId="6" xfId="0" applyFill="1" applyBorder="1" applyAlignment="1">
      <alignment horizontal="right"/>
    </xf>
    <xf numFmtId="0" fontId="0" fillId="0" borderId="6" xfId="0" applyFont="1" applyFill="1" applyBorder="1" applyAlignment="1">
      <alignment horizontal="center"/>
    </xf>
    <xf numFmtId="0" fontId="0" fillId="0" borderId="6" xfId="0" applyFont="1" applyFill="1" applyBorder="1" applyAlignment="1">
      <alignment horizontal="right"/>
    </xf>
    <xf numFmtId="0" fontId="0" fillId="0" borderId="0" xfId="0" applyFill="1" applyBorder="1"/>
    <xf numFmtId="0" fontId="0" fillId="0" borderId="0" xfId="0" applyFont="1" applyFill="1" applyBorder="1" applyAlignment="1">
      <alignment horizontal="right" wrapText="1"/>
    </xf>
    <xf numFmtId="0" fontId="0" fillId="2" borderId="0" xfId="0" applyFill="1" applyProtection="1">
      <protection locked="0"/>
    </xf>
    <xf numFmtId="0" fontId="0" fillId="0" borderId="0" xfId="0" applyProtection="1"/>
    <xf numFmtId="0" fontId="4" fillId="3" borderId="0" xfId="0" applyFont="1" applyFill="1" applyAlignment="1" applyProtection="1">
      <alignment horizontal="center" wrapText="1"/>
    </xf>
    <xf numFmtId="0" fontId="4" fillId="4" borderId="0" xfId="0" applyFont="1" applyFill="1" applyBorder="1" applyAlignment="1" applyProtection="1">
      <alignment horizontal="center"/>
      <protection locked="0"/>
    </xf>
    <xf numFmtId="0" fontId="0" fillId="0" borderId="0" xfId="0" applyFill="1" applyBorder="1" applyAlignment="1"/>
    <xf numFmtId="0" fontId="0" fillId="0" borderId="0" xfId="0" applyFill="1" applyBorder="1" applyAlignment="1">
      <alignment horizontal="center" wrapText="1"/>
    </xf>
    <xf numFmtId="0" fontId="0" fillId="0" borderId="0" xfId="0" applyFill="1" applyBorder="1" applyAlignment="1">
      <alignment horizontal="right"/>
    </xf>
    <xf numFmtId="0" fontId="4" fillId="0" borderId="0" xfId="0" applyFont="1" applyFill="1" applyBorder="1" applyAlignment="1">
      <alignment horizontal="center" wrapText="1"/>
    </xf>
    <xf numFmtId="0" fontId="0" fillId="0" borderId="6" xfId="0" applyBorder="1" applyAlignment="1">
      <alignment vertical="center" wrapText="1"/>
    </xf>
    <xf numFmtId="0" fontId="0" fillId="0" borderId="6" xfId="0" applyBorder="1" applyAlignment="1">
      <alignment horizontal="right" vertical="center" wrapText="1"/>
    </xf>
    <xf numFmtId="49" fontId="0" fillId="0" borderId="6" xfId="0" applyNumberFormat="1" applyBorder="1" applyAlignment="1">
      <alignment horizontal="right" vertical="center" wrapText="1"/>
    </xf>
    <xf numFmtId="0" fontId="0" fillId="0" borderId="25" xfId="0" applyBorder="1" applyAlignment="1">
      <alignment horizontal="right" vertical="center" wrapText="1"/>
    </xf>
    <xf numFmtId="0" fontId="4" fillId="0" borderId="22" xfId="0" applyFont="1" applyBorder="1" applyAlignment="1">
      <alignment horizontal="center" vertical="top" wrapText="1"/>
    </xf>
    <xf numFmtId="0" fontId="4" fillId="0" borderId="22" xfId="0" applyFont="1" applyBorder="1" applyAlignment="1" applyProtection="1">
      <alignment horizontal="center" vertical="top" wrapText="1"/>
    </xf>
    <xf numFmtId="0" fontId="4" fillId="0" borderId="22" xfId="0" applyFont="1" applyFill="1" applyBorder="1" applyAlignment="1" applyProtection="1">
      <alignment horizontal="center" vertical="top"/>
    </xf>
    <xf numFmtId="0" fontId="4" fillId="0" borderId="23" xfId="0" applyFont="1" applyFill="1" applyBorder="1" applyAlignment="1" applyProtection="1">
      <alignment horizontal="center" vertical="top"/>
    </xf>
    <xf numFmtId="0" fontId="0" fillId="0" borderId="21"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9" xfId="0" applyBorder="1" applyAlignment="1">
      <alignment horizontal="center"/>
    </xf>
    <xf numFmtId="0" fontId="4" fillId="0" borderId="22" xfId="0" applyFont="1" applyBorder="1" applyAlignment="1" applyProtection="1">
      <alignment horizontal="center" wrapText="1"/>
    </xf>
    <xf numFmtId="0" fontId="0" fillId="0" borderId="33" xfId="0" applyFill="1" applyBorder="1" applyAlignment="1" applyProtection="1">
      <alignment horizontal="center"/>
    </xf>
    <xf numFmtId="0" fontId="0" fillId="0" borderId="33" xfId="0" applyFill="1" applyBorder="1" applyAlignment="1" applyProtection="1">
      <alignment horizontal="right"/>
    </xf>
    <xf numFmtId="0" fontId="0" fillId="0" borderId="34" xfId="0" applyFill="1" applyBorder="1" applyAlignment="1" applyProtection="1">
      <alignment horizontal="center"/>
    </xf>
    <xf numFmtId="0" fontId="0" fillId="0" borderId="35" xfId="0" applyFill="1" applyBorder="1" applyAlignment="1" applyProtection="1">
      <alignment horizontal="right"/>
    </xf>
    <xf numFmtId="1" fontId="0" fillId="0" borderId="6" xfId="0" applyNumberFormat="1" applyFill="1" applyBorder="1" applyAlignment="1">
      <alignment horizontal="center"/>
    </xf>
    <xf numFmtId="1" fontId="0" fillId="0" borderId="6" xfId="0" applyNumberFormat="1" applyFill="1" applyBorder="1" applyAlignment="1">
      <alignment horizontal="right"/>
    </xf>
    <xf numFmtId="1" fontId="0" fillId="0" borderId="32" xfId="0" applyNumberFormat="1" applyFill="1" applyBorder="1" applyAlignment="1">
      <alignment horizontal="center"/>
    </xf>
    <xf numFmtId="1" fontId="0" fillId="0" borderId="6" xfId="2" applyNumberFormat="1" applyFont="1" applyFill="1" applyBorder="1" applyAlignment="1">
      <alignment horizontal="center"/>
    </xf>
    <xf numFmtId="1" fontId="0" fillId="0" borderId="6" xfId="2" applyNumberFormat="1" applyFont="1" applyFill="1" applyBorder="1" applyAlignment="1">
      <alignment horizontal="right"/>
    </xf>
    <xf numFmtId="1" fontId="0" fillId="0" borderId="32" xfId="2" applyNumberFormat="1" applyFont="1" applyFill="1" applyBorder="1" applyAlignment="1">
      <alignment horizontal="center" wrapText="1"/>
    </xf>
    <xf numFmtId="1" fontId="0" fillId="0" borderId="32" xfId="2" applyNumberFormat="1" applyFont="1" applyFill="1" applyBorder="1" applyAlignment="1">
      <alignment horizontal="right"/>
    </xf>
    <xf numFmtId="165" fontId="0" fillId="0" borderId="6" xfId="0" applyNumberFormat="1" applyFill="1" applyBorder="1" applyAlignment="1">
      <alignment horizontal="center"/>
    </xf>
    <xf numFmtId="165" fontId="0" fillId="0" borderId="6" xfId="2" applyNumberFormat="1" applyFont="1" applyFill="1" applyBorder="1" applyAlignment="1">
      <alignment horizontal="center"/>
    </xf>
    <xf numFmtId="165" fontId="0" fillId="0" borderId="32" xfId="2" applyNumberFormat="1" applyFont="1" applyFill="1" applyBorder="1" applyAlignment="1">
      <alignment horizontal="center" wrapText="1"/>
    </xf>
    <xf numFmtId="0" fontId="0" fillId="0" borderId="0" xfId="0" applyFill="1" applyProtection="1">
      <protection locked="0"/>
    </xf>
    <xf numFmtId="0" fontId="4" fillId="0" borderId="0" xfId="0" applyFont="1" applyFill="1" applyAlignment="1" applyProtection="1">
      <alignment horizontal="center" wrapText="1"/>
    </xf>
    <xf numFmtId="0" fontId="0" fillId="0" borderId="6" xfId="0" applyFont="1" applyFill="1" applyBorder="1" applyAlignment="1">
      <alignment horizontal="right" wrapText="1"/>
    </xf>
    <xf numFmtId="0" fontId="0" fillId="4" borderId="6" xfId="0" applyFont="1" applyFill="1" applyBorder="1" applyAlignment="1" applyProtection="1">
      <alignment horizontal="right" vertical="center" wrapText="1"/>
      <protection locked="0"/>
    </xf>
    <xf numFmtId="0" fontId="0" fillId="4" borderId="6" xfId="0" applyFont="1" applyFill="1" applyBorder="1" applyAlignment="1" applyProtection="1">
      <alignment horizontal="right" vertical="center"/>
      <protection locked="0"/>
    </xf>
    <xf numFmtId="0" fontId="0" fillId="4" borderId="25" xfId="0" applyFont="1" applyFill="1" applyBorder="1" applyAlignment="1" applyProtection="1">
      <alignment horizontal="right" vertical="center"/>
      <protection locked="0"/>
    </xf>
    <xf numFmtId="0" fontId="0" fillId="4" borderId="30" xfId="0" applyFont="1" applyFill="1" applyBorder="1" applyAlignment="1" applyProtection="1">
      <alignment horizontal="right" vertical="center" wrapText="1"/>
      <protection locked="0"/>
    </xf>
    <xf numFmtId="0" fontId="0" fillId="4" borderId="30" xfId="0" applyFont="1" applyFill="1" applyBorder="1" applyAlignment="1" applyProtection="1">
      <alignment horizontal="right" vertical="center"/>
      <protection locked="0"/>
    </xf>
    <xf numFmtId="0" fontId="0" fillId="4" borderId="31" xfId="0" applyFont="1" applyFill="1" applyBorder="1" applyAlignment="1" applyProtection="1">
      <alignment horizontal="right" vertical="center"/>
      <protection locked="0"/>
    </xf>
    <xf numFmtId="0" fontId="0" fillId="4" borderId="27" xfId="0" applyFont="1" applyFill="1" applyBorder="1" applyAlignment="1" applyProtection="1">
      <alignment horizontal="right" vertical="center" wrapText="1"/>
      <protection locked="0"/>
    </xf>
    <xf numFmtId="0" fontId="0" fillId="4" borderId="27" xfId="0" applyFont="1" applyFill="1" applyBorder="1" applyAlignment="1" applyProtection="1">
      <alignment horizontal="right" vertical="center"/>
      <protection locked="0"/>
    </xf>
    <xf numFmtId="0" fontId="0" fillId="4" borderId="28" xfId="0" applyFont="1" applyFill="1" applyBorder="1" applyAlignment="1" applyProtection="1">
      <alignment horizontal="right" vertical="center"/>
      <protection locked="0"/>
    </xf>
    <xf numFmtId="0" fontId="0" fillId="4" borderId="6" xfId="0" applyFont="1" applyFill="1" applyBorder="1" applyAlignment="1" applyProtection="1">
      <alignment horizontal="left" vertical="center" wrapText="1"/>
      <protection locked="0"/>
    </xf>
    <xf numFmtId="0" fontId="0" fillId="4" borderId="27" xfId="0" applyFont="1" applyFill="1" applyBorder="1" applyAlignment="1" applyProtection="1">
      <alignment horizontal="left" vertical="center" wrapText="1"/>
      <protection locked="0"/>
    </xf>
    <xf numFmtId="0" fontId="4" fillId="0" borderId="6" xfId="0" applyFont="1" applyFill="1" applyBorder="1" applyAlignment="1">
      <alignment horizontal="center"/>
    </xf>
    <xf numFmtId="0" fontId="0" fillId="0" borderId="0" xfId="0" applyFill="1" applyAlignment="1">
      <alignment horizontal="center" wrapText="1"/>
    </xf>
    <xf numFmtId="0" fontId="0" fillId="2" borderId="6" xfId="0" applyFill="1" applyBorder="1" applyAlignment="1" applyProtection="1">
      <alignment horizontal="center"/>
      <protection locked="0"/>
    </xf>
    <xf numFmtId="0" fontId="0" fillId="0" borderId="6" xfId="0" applyFill="1" applyBorder="1" applyAlignment="1" applyProtection="1">
      <alignment horizontal="center"/>
    </xf>
    <xf numFmtId="0" fontId="0" fillId="0" borderId="6" xfId="0" applyFill="1" applyBorder="1" applyAlignment="1" applyProtection="1">
      <alignment horizontal="center" wrapText="1"/>
    </xf>
    <xf numFmtId="0" fontId="4" fillId="0" borderId="22" xfId="0" applyFont="1" applyFill="1" applyBorder="1" applyProtection="1"/>
    <xf numFmtId="0" fontId="4" fillId="0" borderId="23" xfId="0" applyFont="1" applyFill="1" applyBorder="1" applyProtection="1"/>
    <xf numFmtId="0" fontId="0" fillId="0" borderId="24" xfId="0" applyBorder="1" applyAlignment="1" applyProtection="1">
      <alignment horizontal="center"/>
    </xf>
    <xf numFmtId="0" fontId="0" fillId="0" borderId="25" xfId="0" applyFill="1" applyBorder="1" applyAlignment="1" applyProtection="1">
      <alignment horizontal="center" wrapText="1"/>
    </xf>
    <xf numFmtId="0" fontId="0" fillId="0" borderId="26" xfId="0" applyBorder="1" applyAlignment="1" applyProtection="1">
      <alignment horizontal="center"/>
    </xf>
    <xf numFmtId="0" fontId="0" fillId="2" borderId="27" xfId="0" applyFill="1" applyBorder="1" applyAlignment="1" applyProtection="1">
      <alignment horizontal="center"/>
      <protection locked="0"/>
    </xf>
    <xf numFmtId="0" fontId="0" fillId="0" borderId="27" xfId="0" applyFill="1" applyBorder="1" applyAlignment="1" applyProtection="1">
      <alignment horizontal="center"/>
    </xf>
    <xf numFmtId="0" fontId="0" fillId="0" borderId="27" xfId="0" applyFill="1" applyBorder="1" applyAlignment="1" applyProtection="1">
      <alignment horizontal="center" wrapText="1"/>
    </xf>
    <xf numFmtId="0" fontId="0" fillId="0" borderId="28" xfId="0" applyFill="1" applyBorder="1" applyAlignment="1" applyProtection="1">
      <alignment horizontal="center"/>
    </xf>
    <xf numFmtId="0" fontId="0" fillId="0" borderId="6" xfId="2" applyNumberFormat="1" applyFont="1" applyFill="1" applyBorder="1" applyAlignment="1">
      <alignment horizontal="right"/>
    </xf>
    <xf numFmtId="0" fontId="0" fillId="0" borderId="32" xfId="2" applyNumberFormat="1" applyFont="1" applyFill="1" applyBorder="1" applyAlignment="1">
      <alignment horizontal="right"/>
    </xf>
    <xf numFmtId="166" fontId="0" fillId="0" borderId="6" xfId="2" applyNumberFormat="1" applyFont="1" applyFill="1" applyBorder="1" applyAlignment="1">
      <alignment horizontal="right"/>
    </xf>
    <xf numFmtId="166" fontId="0" fillId="0" borderId="32" xfId="2" applyNumberFormat="1" applyFont="1" applyFill="1" applyBorder="1" applyAlignment="1">
      <alignment horizontal="right"/>
    </xf>
    <xf numFmtId="0" fontId="4" fillId="0" borderId="33" xfId="0" applyFont="1" applyFill="1" applyBorder="1" applyAlignment="1" applyProtection="1">
      <alignment horizontal="center"/>
    </xf>
    <xf numFmtId="0" fontId="4" fillId="0" borderId="34" xfId="0" applyFont="1" applyFill="1" applyBorder="1" applyAlignment="1" applyProtection="1">
      <alignment horizontal="center"/>
    </xf>
    <xf numFmtId="0" fontId="4" fillId="0" borderId="6" xfId="0" applyFont="1" applyBorder="1" applyAlignment="1" applyProtection="1">
      <alignment horizontal="center" wrapText="1"/>
    </xf>
    <xf numFmtId="0" fontId="4" fillId="0" borderId="6" xfId="0" applyFont="1" applyFill="1" applyBorder="1" applyAlignment="1" applyProtection="1">
      <alignment horizontal="center" wrapText="1"/>
    </xf>
    <xf numFmtId="0" fontId="4" fillId="0" borderId="6" xfId="0" applyFont="1" applyFill="1" applyBorder="1" applyAlignment="1">
      <alignment horizontal="center" wrapText="1"/>
    </xf>
    <xf numFmtId="0" fontId="4" fillId="0" borderId="6" xfId="0" applyFont="1" applyBorder="1" applyAlignment="1">
      <alignment horizontal="center" wrapText="1"/>
    </xf>
    <xf numFmtId="0" fontId="4" fillId="0" borderId="6" xfId="0" applyFont="1" applyFill="1" applyBorder="1"/>
    <xf numFmtId="164" fontId="0" fillId="0" borderId="6" xfId="2" applyNumberFormat="1" applyFont="1" applyFill="1" applyBorder="1"/>
    <xf numFmtId="167" fontId="0" fillId="0" borderId="6" xfId="0" applyNumberFormat="1" applyBorder="1"/>
    <xf numFmtId="167" fontId="12" fillId="0" borderId="37" xfId="0" applyNumberFormat="1" applyFont="1" applyFill="1" applyBorder="1" applyAlignment="1">
      <alignment horizontal="center"/>
    </xf>
    <xf numFmtId="0" fontId="0" fillId="0" borderId="32" xfId="0" applyFill="1" applyBorder="1" applyAlignment="1">
      <alignment horizontal="right"/>
    </xf>
    <xf numFmtId="164" fontId="0" fillId="0" borderId="32" xfId="2" applyNumberFormat="1" applyFont="1" applyFill="1" applyBorder="1"/>
    <xf numFmtId="167" fontId="0" fillId="0" borderId="32" xfId="0" applyNumberFormat="1" applyBorder="1"/>
    <xf numFmtId="0" fontId="0" fillId="0" borderId="6" xfId="0" applyFill="1" applyBorder="1" applyAlignment="1">
      <alignment vertical="center" wrapText="1"/>
    </xf>
    <xf numFmtId="0" fontId="0" fillId="0" borderId="24" xfId="0" applyFont="1" applyFill="1" applyBorder="1" applyAlignment="1">
      <alignment horizontal="right" vertical="center" wrapText="1"/>
    </xf>
    <xf numFmtId="0" fontId="4" fillId="0" borderId="6" xfId="0" applyFont="1" applyFill="1" applyBorder="1" applyAlignment="1">
      <alignment horizontal="right"/>
    </xf>
    <xf numFmtId="0" fontId="0" fillId="0" borderId="25" xfId="0" applyFill="1" applyBorder="1" applyAlignment="1" applyProtection="1">
      <alignment horizontal="center" vertical="center"/>
      <protection locked="0"/>
    </xf>
    <xf numFmtId="0" fontId="0" fillId="0" borderId="36" xfId="0" applyFill="1" applyBorder="1" applyAlignment="1" applyProtection="1">
      <alignment horizontal="center"/>
    </xf>
    <xf numFmtId="0" fontId="0" fillId="4" borderId="6" xfId="0" applyFill="1" applyBorder="1" applyAlignment="1" applyProtection="1">
      <alignment horizontal="right" vertical="center" wrapText="1"/>
      <protection locked="0"/>
    </xf>
    <xf numFmtId="0" fontId="0" fillId="2" borderId="13" xfId="0" applyFill="1" applyBorder="1" applyAlignment="1" applyProtection="1">
      <alignment horizontal="right"/>
    </xf>
    <xf numFmtId="0" fontId="4" fillId="0" borderId="0" xfId="0" applyFont="1" applyBorder="1" applyAlignment="1" applyProtection="1">
      <alignment horizontal="left"/>
    </xf>
    <xf numFmtId="0" fontId="0" fillId="3" borderId="15" xfId="0" applyFill="1" applyBorder="1" applyAlignment="1" applyProtection="1">
      <alignment horizontal="right"/>
    </xf>
    <xf numFmtId="0" fontId="4" fillId="0" borderId="16" xfId="0" applyFont="1" applyBorder="1" applyAlignment="1" applyProtection="1">
      <alignment horizontal="left"/>
    </xf>
    <xf numFmtId="0" fontId="4" fillId="0" borderId="44" xfId="0" applyFont="1" applyBorder="1" applyAlignment="1">
      <alignment horizontal="left"/>
    </xf>
    <xf numFmtId="0" fontId="4" fillId="0" borderId="46" xfId="0" applyFont="1" applyBorder="1" applyAlignment="1">
      <alignment horizontal="left"/>
    </xf>
    <xf numFmtId="0" fontId="4" fillId="0" borderId="47" xfId="0" applyFont="1" applyBorder="1" applyAlignment="1">
      <alignment horizontal="left"/>
    </xf>
    <xf numFmtId="0" fontId="8" fillId="0" borderId="0" xfId="0" applyFont="1" applyFill="1" applyBorder="1" applyAlignment="1" applyProtection="1">
      <alignment horizontal="center"/>
    </xf>
    <xf numFmtId="0" fontId="0" fillId="0" borderId="2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4" fillId="0" borderId="11" xfId="0" applyFont="1" applyFill="1" applyBorder="1" applyAlignment="1" applyProtection="1">
      <alignment horizontal="left"/>
    </xf>
    <xf numFmtId="0" fontId="8" fillId="0" borderId="8" xfId="0" applyFont="1" applyFill="1" applyBorder="1" applyAlignment="1" applyProtection="1">
      <alignment horizontal="left"/>
    </xf>
    <xf numFmtId="0" fontId="8" fillId="0" borderId="12" xfId="0" applyFont="1" applyFill="1" applyBorder="1" applyAlignment="1" applyProtection="1">
      <alignment horizontal="left"/>
    </xf>
    <xf numFmtId="0" fontId="0" fillId="0" borderId="0" xfId="0" applyFill="1" applyBorder="1" applyAlignment="1" applyProtection="1">
      <alignment horizontal="center"/>
    </xf>
    <xf numFmtId="0" fontId="0" fillId="0" borderId="13"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14" xfId="0" applyFont="1" applyFill="1" applyBorder="1" applyAlignment="1" applyProtection="1">
      <alignment horizontal="left" vertical="top" wrapText="1"/>
    </xf>
    <xf numFmtId="0" fontId="4" fillId="0" borderId="13" xfId="0" applyFont="1" applyFill="1" applyBorder="1" applyAlignment="1" applyProtection="1">
      <alignment horizontal="center" vertical="top" wrapText="1"/>
    </xf>
    <xf numFmtId="0" fontId="4" fillId="0" borderId="0" xfId="0" applyFont="1" applyFill="1" applyBorder="1" applyAlignment="1" applyProtection="1">
      <alignment horizontal="center" vertical="top" wrapText="1"/>
    </xf>
    <xf numFmtId="0" fontId="4" fillId="0" borderId="14" xfId="0" applyFont="1" applyFill="1" applyBorder="1" applyAlignment="1" applyProtection="1">
      <alignment horizontal="center" vertical="top" wrapText="1"/>
    </xf>
    <xf numFmtId="0" fontId="0" fillId="0" borderId="13" xfId="0" applyFill="1" applyBorder="1" applyAlignment="1" applyProtection="1">
      <alignment horizontal="left" vertical="top"/>
    </xf>
    <xf numFmtId="0" fontId="0" fillId="0" borderId="0" xfId="0" applyFill="1" applyBorder="1" applyAlignment="1" applyProtection="1">
      <alignment horizontal="left" vertical="top"/>
    </xf>
    <xf numFmtId="0" fontId="0" fillId="0" borderId="14" xfId="0" applyFill="1" applyBorder="1" applyAlignment="1" applyProtection="1">
      <alignment horizontal="left" vertical="top"/>
    </xf>
    <xf numFmtId="0" fontId="0" fillId="0" borderId="13" xfId="0" applyFill="1" applyBorder="1" applyAlignment="1" applyProtection="1">
      <alignment horizontal="center" vertical="top"/>
    </xf>
    <xf numFmtId="0" fontId="0" fillId="0" borderId="0" xfId="0" applyFill="1" applyBorder="1" applyAlignment="1" applyProtection="1">
      <alignment horizontal="center" vertical="top"/>
    </xf>
    <xf numFmtId="0" fontId="0" fillId="0" borderId="14" xfId="0" applyFill="1" applyBorder="1" applyAlignment="1" applyProtection="1">
      <alignment horizontal="center" vertical="top"/>
    </xf>
    <xf numFmtId="0" fontId="0" fillId="0" borderId="53" xfId="0" applyBorder="1" applyAlignment="1">
      <alignment horizontal="center" vertical="top" wrapText="1"/>
    </xf>
    <xf numFmtId="0" fontId="0" fillId="0" borderId="54" xfId="0" applyBorder="1" applyAlignment="1">
      <alignment horizontal="center" vertical="top" wrapText="1"/>
    </xf>
    <xf numFmtId="0" fontId="0" fillId="0" borderId="55" xfId="0" applyBorder="1" applyAlignment="1">
      <alignment horizontal="center" vertical="top" wrapText="1"/>
    </xf>
    <xf numFmtId="0" fontId="0" fillId="0" borderId="19" xfId="0" applyFill="1" applyBorder="1" applyAlignment="1" applyProtection="1">
      <alignment horizontal="center"/>
    </xf>
    <xf numFmtId="0" fontId="0" fillId="0" borderId="0" xfId="0" applyFill="1" applyBorder="1" applyAlignment="1" applyProtection="1">
      <alignment horizontal="right"/>
    </xf>
    <xf numFmtId="0" fontId="0" fillId="0" borderId="14" xfId="0" applyFill="1" applyBorder="1" applyAlignment="1" applyProtection="1">
      <alignment horizontal="right"/>
    </xf>
    <xf numFmtId="0" fontId="0" fillId="0" borderId="16" xfId="0" applyFill="1" applyBorder="1" applyAlignment="1" applyProtection="1">
      <alignment horizontal="right"/>
    </xf>
    <xf numFmtId="0" fontId="0" fillId="0" borderId="17" xfId="0" applyFill="1" applyBorder="1" applyAlignment="1" applyProtection="1">
      <alignment horizontal="right"/>
    </xf>
    <xf numFmtId="0" fontId="3" fillId="0" borderId="0" xfId="0" applyFont="1" applyFill="1" applyBorder="1" applyAlignment="1" applyProtection="1">
      <alignment horizontal="center"/>
    </xf>
    <xf numFmtId="0" fontId="0" fillId="0" borderId="8" xfId="0" applyFill="1" applyBorder="1" applyAlignment="1" applyProtection="1">
      <alignment horizontal="center"/>
    </xf>
    <xf numFmtId="0" fontId="0" fillId="0" borderId="13" xfId="0" applyFill="1" applyBorder="1" applyAlignment="1" applyProtection="1">
      <alignment horizontal="left" vertical="top" wrapText="1"/>
    </xf>
    <xf numFmtId="0" fontId="0" fillId="0" borderId="15" xfId="0" applyFill="1" applyBorder="1" applyAlignment="1" applyProtection="1">
      <alignment horizontal="left" vertical="top"/>
    </xf>
    <xf numFmtId="0" fontId="0" fillId="0" borderId="16" xfId="0" applyFill="1" applyBorder="1" applyAlignment="1" applyProtection="1">
      <alignment horizontal="left" vertical="top"/>
    </xf>
    <xf numFmtId="0" fontId="0" fillId="0" borderId="17" xfId="0" applyFill="1" applyBorder="1" applyAlignment="1" applyProtection="1">
      <alignment horizontal="left" vertical="top"/>
    </xf>
    <xf numFmtId="0" fontId="4" fillId="0" borderId="44" xfId="0" applyFont="1" applyFill="1" applyBorder="1" applyAlignment="1" applyProtection="1">
      <alignment horizontal="left"/>
    </xf>
    <xf numFmtId="0" fontId="8" fillId="0" borderId="46" xfId="0" applyFont="1" applyFill="1" applyBorder="1" applyAlignment="1" applyProtection="1">
      <alignment horizontal="left"/>
    </xf>
    <xf numFmtId="0" fontId="8" fillId="0" borderId="47" xfId="0" applyFont="1" applyFill="1" applyBorder="1" applyAlignment="1" applyProtection="1">
      <alignment horizontal="left"/>
    </xf>
    <xf numFmtId="0" fontId="0" fillId="0" borderId="48" xfId="0" applyBorder="1" applyAlignment="1">
      <alignment horizontal="left" vertical="top" wrapText="1"/>
    </xf>
    <xf numFmtId="0" fontId="0" fillId="0" borderId="39"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15" fillId="0" borderId="13" xfId="0" applyFont="1" applyFill="1" applyBorder="1" applyAlignment="1" applyProtection="1">
      <alignment horizontal="left"/>
    </xf>
    <xf numFmtId="0" fontId="15" fillId="0" borderId="0" xfId="0" applyFont="1" applyFill="1" applyBorder="1" applyAlignment="1" applyProtection="1">
      <alignment horizontal="left"/>
    </xf>
    <xf numFmtId="0" fontId="15" fillId="0" borderId="14" xfId="0" applyFont="1" applyFill="1" applyBorder="1" applyAlignment="1" applyProtection="1">
      <alignment horizontal="left"/>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3" fillId="0" borderId="16" xfId="0" applyFont="1" applyFill="1" applyBorder="1" applyAlignment="1">
      <alignment horizontal="left" vertical="center"/>
    </xf>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4" fillId="0" borderId="42" xfId="0" applyFont="1" applyFill="1" applyBorder="1" applyAlignment="1" applyProtection="1">
      <alignment horizontal="center"/>
    </xf>
    <xf numFmtId="0" fontId="4" fillId="0" borderId="43"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43" xfId="0" applyFont="1" applyFill="1" applyBorder="1" applyAlignment="1" applyProtection="1">
      <alignment horizontal="center"/>
    </xf>
    <xf numFmtId="0" fontId="0" fillId="0" borderId="40" xfId="0" applyFill="1" applyBorder="1" applyAlignment="1" applyProtection="1">
      <alignment horizontal="center"/>
    </xf>
    <xf numFmtId="0" fontId="0" fillId="0" borderId="41" xfId="0" applyFill="1" applyBorder="1" applyAlignment="1" applyProtection="1">
      <alignment horizontal="center"/>
    </xf>
    <xf numFmtId="0" fontId="0" fillId="0" borderId="0" xfId="0" applyAlignment="1" applyProtection="1">
      <alignment horizontal="center"/>
    </xf>
    <xf numFmtId="0" fontId="0" fillId="0" borderId="13" xfId="0" applyFill="1" applyBorder="1" applyAlignment="1" applyProtection="1">
      <alignment horizontal="center"/>
    </xf>
    <xf numFmtId="0" fontId="0" fillId="0" borderId="14" xfId="0" applyFill="1" applyBorder="1" applyAlignment="1" applyProtection="1">
      <alignment horizontal="center"/>
    </xf>
    <xf numFmtId="0" fontId="0" fillId="0" borderId="15" xfId="0" applyFill="1" applyBorder="1" applyAlignment="1" applyProtection="1">
      <alignment horizontal="center"/>
    </xf>
    <xf numFmtId="0" fontId="0" fillId="0" borderId="16" xfId="0" applyFill="1" applyBorder="1" applyAlignment="1" applyProtection="1">
      <alignment horizontal="center"/>
    </xf>
    <xf numFmtId="0" fontId="0" fillId="0" borderId="17" xfId="0" applyFill="1" applyBorder="1" applyAlignment="1" applyProtection="1">
      <alignment horizontal="center"/>
    </xf>
    <xf numFmtId="0" fontId="0" fillId="0" borderId="0" xfId="0" applyAlignment="1" applyProtection="1">
      <alignment horizontal="right"/>
    </xf>
    <xf numFmtId="0" fontId="7" fillId="0" borderId="42" xfId="0" applyFont="1" applyFill="1" applyBorder="1" applyAlignment="1" applyProtection="1">
      <alignment horizontal="center"/>
    </xf>
    <xf numFmtId="0" fontId="7" fillId="0" borderId="43" xfId="0" applyFont="1" applyFill="1" applyBorder="1" applyAlignment="1" applyProtection="1">
      <alignment horizontal="center"/>
    </xf>
    <xf numFmtId="0" fontId="8" fillId="0" borderId="7" xfId="0" applyFont="1" applyFill="1" applyBorder="1" applyAlignment="1" applyProtection="1">
      <alignment horizontal="center"/>
    </xf>
    <xf numFmtId="0" fontId="4" fillId="0" borderId="44" xfId="0" applyFont="1" applyFill="1" applyBorder="1" applyAlignment="1" applyProtection="1">
      <alignment horizontal="center"/>
    </xf>
    <xf numFmtId="0" fontId="4" fillId="0" borderId="45" xfId="0" applyFont="1" applyFill="1" applyBorder="1" applyAlignment="1" applyProtection="1">
      <alignment horizontal="center"/>
    </xf>
    <xf numFmtId="0" fontId="7" fillId="0" borderId="8" xfId="0" applyFont="1" applyFill="1" applyBorder="1" applyAlignment="1" applyProtection="1">
      <alignment horizontal="left"/>
    </xf>
    <xf numFmtId="0" fontId="0" fillId="0" borderId="1"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2" xfId="0" applyBorder="1" applyAlignment="1" applyProtection="1">
      <alignment horizontal="center"/>
    </xf>
    <xf numFmtId="0" fontId="8" fillId="0" borderId="9" xfId="0" applyFont="1" applyFill="1" applyBorder="1" applyAlignment="1" applyProtection="1">
      <alignment horizontal="center"/>
    </xf>
    <xf numFmtId="0" fontId="8" fillId="0" borderId="8" xfId="0" applyFont="1" applyFill="1" applyBorder="1" applyAlignment="1" applyProtection="1">
      <alignment horizontal="center"/>
    </xf>
    <xf numFmtId="0" fontId="8" fillId="0" borderId="10" xfId="0" applyFont="1" applyFill="1" applyBorder="1" applyAlignment="1" applyProtection="1">
      <alignment horizontal="center"/>
    </xf>
    <xf numFmtId="0" fontId="0" fillId="0" borderId="16" xfId="0" applyBorder="1" applyAlignment="1" applyProtection="1">
      <alignment horizontal="center"/>
    </xf>
    <xf numFmtId="0" fontId="6" fillId="0" borderId="11" xfId="0" applyFont="1" applyFill="1" applyBorder="1" applyAlignment="1" applyProtection="1">
      <alignment horizontal="left" wrapText="1"/>
    </xf>
    <xf numFmtId="0" fontId="6" fillId="0" borderId="8" xfId="0" applyFont="1" applyFill="1" applyBorder="1" applyAlignment="1" applyProtection="1">
      <alignment horizontal="left" wrapText="1"/>
    </xf>
    <xf numFmtId="0" fontId="6" fillId="0" borderId="12" xfId="0" applyFont="1" applyFill="1" applyBorder="1" applyAlignment="1" applyProtection="1">
      <alignment horizontal="left" wrapText="1"/>
    </xf>
    <xf numFmtId="0" fontId="8" fillId="0" borderId="7" xfId="0" applyFont="1" applyFill="1" applyBorder="1" applyAlignment="1">
      <alignment horizontal="center"/>
    </xf>
    <xf numFmtId="0" fontId="0" fillId="0" borderId="22" xfId="0" applyFill="1" applyBorder="1" applyProtection="1">
      <protection locked="0"/>
    </xf>
    <xf numFmtId="0" fontId="0" fillId="0" borderId="23" xfId="0" applyFill="1" applyBorder="1" applyProtection="1">
      <protection locked="0"/>
    </xf>
    <xf numFmtId="0" fontId="0" fillId="0" borderId="6" xfId="0" applyFill="1" applyBorder="1" applyProtection="1">
      <protection locked="0"/>
    </xf>
    <xf numFmtId="0" fontId="0" fillId="0" borderId="25" xfId="0" applyFill="1" applyBorder="1" applyProtection="1">
      <protection locked="0"/>
    </xf>
    <xf numFmtId="0" fontId="0" fillId="0" borderId="27" xfId="0" applyFill="1" applyBorder="1" applyProtection="1">
      <protection locked="0"/>
    </xf>
    <xf numFmtId="0" fontId="0" fillId="0" borderId="28" xfId="0" applyFill="1" applyBorder="1" applyProtection="1">
      <protection locked="0"/>
    </xf>
    <xf numFmtId="0" fontId="11" fillId="0" borderId="21" xfId="0" applyFont="1" applyFill="1" applyBorder="1" applyAlignment="1">
      <alignment horizontal="center" wrapText="1"/>
    </xf>
    <xf numFmtId="0" fontId="11" fillId="0" borderId="23" xfId="0" applyFont="1" applyFill="1" applyBorder="1" applyAlignment="1">
      <alignment horizontal="center" wrapText="1"/>
    </xf>
    <xf numFmtId="0" fontId="0" fillId="0" borderId="0" xfId="0" applyFill="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4" fillId="0" borderId="21" xfId="0" applyFont="1" applyFill="1" applyBorder="1" applyAlignment="1" applyProtection="1">
      <alignment horizontal="center" vertical="top" wrapText="1"/>
    </xf>
    <xf numFmtId="0" fontId="4" fillId="0" borderId="24" xfId="0" applyFont="1" applyFill="1" applyBorder="1" applyAlignment="1" applyProtection="1">
      <alignment horizontal="center" vertical="top" wrapText="1"/>
    </xf>
    <xf numFmtId="0" fontId="4" fillId="0" borderId="26" xfId="0" applyFont="1" applyFill="1" applyBorder="1" applyAlignment="1" applyProtection="1">
      <alignment horizontal="center" vertical="top" wrapText="1"/>
    </xf>
    <xf numFmtId="0" fontId="0" fillId="0" borderId="9" xfId="0" applyFill="1" applyBorder="1" applyAlignment="1">
      <alignment horizontal="center"/>
    </xf>
    <xf numFmtId="0" fontId="0" fillId="0" borderId="8" xfId="0" applyFill="1" applyBorder="1" applyAlignment="1">
      <alignment horizontal="center"/>
    </xf>
    <xf numFmtId="0" fontId="0" fillId="0" borderId="10" xfId="0" applyFill="1" applyBorder="1" applyAlignment="1">
      <alignment horizontal="center"/>
    </xf>
    <xf numFmtId="0" fontId="0" fillId="0" borderId="13"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11" fillId="0" borderId="11" xfId="0" applyFont="1" applyFill="1" applyBorder="1" applyAlignment="1">
      <alignment horizontal="left"/>
    </xf>
    <xf numFmtId="0" fontId="11" fillId="0" borderId="8" xfId="0" applyFont="1" applyFill="1" applyBorder="1" applyAlignment="1">
      <alignment horizontal="left"/>
    </xf>
    <xf numFmtId="0" fontId="11" fillId="0" borderId="12" xfId="0" applyFont="1" applyFill="1" applyBorder="1" applyAlignment="1">
      <alignment horizontal="left"/>
    </xf>
    <xf numFmtId="0" fontId="0" fillId="0" borderId="24" xfId="0" applyFont="1" applyFill="1" applyBorder="1" applyAlignment="1">
      <alignment horizontal="right" vertical="center" wrapText="1"/>
    </xf>
    <xf numFmtId="0" fontId="0" fillId="0" borderId="26" xfId="0" applyFont="1" applyFill="1" applyBorder="1" applyAlignment="1">
      <alignment horizontal="right" vertical="center" wrapText="1"/>
    </xf>
    <xf numFmtId="0" fontId="0" fillId="0" borderId="25"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0" fillId="0" borderId="0" xfId="0" applyFill="1" applyBorder="1" applyAlignment="1">
      <alignment horizontal="center"/>
    </xf>
    <xf numFmtId="0" fontId="0" fillId="0" borderId="0" xfId="0" applyBorder="1" applyAlignment="1">
      <alignment horizontal="center"/>
    </xf>
    <xf numFmtId="0" fontId="4" fillId="0" borderId="16" xfId="0" applyFont="1" applyFill="1" applyBorder="1" applyAlignment="1">
      <alignment horizontal="center"/>
    </xf>
    <xf numFmtId="0" fontId="0" fillId="0" borderId="0" xfId="0" applyFont="1" applyFill="1" applyAlignment="1">
      <alignment horizontal="center" wrapText="1"/>
    </xf>
    <xf numFmtId="0" fontId="0" fillId="0" borderId="6" xfId="0" applyFill="1" applyBorder="1" applyAlignment="1" applyProtection="1">
      <alignment horizontal="left"/>
      <protection locked="0"/>
    </xf>
    <xf numFmtId="0" fontId="8" fillId="0" borderId="1" xfId="0" applyFont="1" applyFill="1" applyBorder="1" applyAlignment="1">
      <alignment horizontal="center"/>
    </xf>
    <xf numFmtId="0" fontId="8" fillId="0" borderId="0" xfId="0" applyFont="1" applyFill="1" applyBorder="1" applyAlignment="1">
      <alignment horizontal="center"/>
    </xf>
    <xf numFmtId="0" fontId="8" fillId="0" borderId="2" xfId="0" applyFont="1" applyFill="1" applyBorder="1" applyAlignment="1">
      <alignment horizontal="center"/>
    </xf>
    <xf numFmtId="0" fontId="4" fillId="0" borderId="6" xfId="0" applyFont="1" applyFill="1" applyBorder="1" applyAlignment="1">
      <alignment horizontal="center"/>
    </xf>
    <xf numFmtId="0" fontId="4" fillId="0" borderId="0" xfId="0" applyFont="1" applyFill="1" applyAlignment="1">
      <alignment horizontal="center"/>
    </xf>
    <xf numFmtId="0" fontId="3" fillId="0" borderId="0" xfId="0" applyFont="1" applyFill="1" applyBorder="1" applyAlignment="1">
      <alignment horizontal="left"/>
    </xf>
    <xf numFmtId="0" fontId="0" fillId="0" borderId="0" xfId="0" applyFont="1"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17" xfId="0" applyFill="1" applyBorder="1" applyAlignment="1">
      <alignment horizontal="center"/>
    </xf>
    <xf numFmtId="0" fontId="0" fillId="0" borderId="0" xfId="0" applyFill="1" applyAlignment="1">
      <alignment horizontal="left"/>
    </xf>
    <xf numFmtId="0" fontId="12" fillId="0" borderId="37" xfId="0" applyFont="1" applyFill="1" applyBorder="1" applyAlignment="1">
      <alignment horizontal="right"/>
    </xf>
    <xf numFmtId="0" fontId="4" fillId="0" borderId="11" xfId="0" applyFont="1" applyFill="1" applyBorder="1" applyAlignment="1">
      <alignment horizontal="left"/>
    </xf>
    <xf numFmtId="0" fontId="4" fillId="0" borderId="8" xfId="0" applyFont="1" applyFill="1" applyBorder="1" applyAlignment="1">
      <alignment horizontal="left"/>
    </xf>
    <xf numFmtId="0" fontId="4" fillId="0" borderId="12" xfId="0" applyFont="1" applyFill="1" applyBorder="1" applyAlignment="1">
      <alignment horizontal="left"/>
    </xf>
    <xf numFmtId="0" fontId="4" fillId="0" borderId="38"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applyProtection="1">
      <alignment horizontal="center"/>
      <protection locked="0"/>
    </xf>
  </cellXfs>
  <cellStyles count="3">
    <cellStyle name="Komma" xfId="2" builtinId="3"/>
    <cellStyle name="Standaard" xfId="0" builtinId="0" customBuiltin="1"/>
    <cellStyle name="Stijl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spc="0" baseline="0">
                <a:solidFill>
                  <a:srgbClr val="595959"/>
                </a:solidFill>
                <a:latin typeface="Calibri"/>
              </a:defRPr>
            </a:pPr>
            <a:r>
              <a:rPr lang="nl-NL" sz="1400" b="0" i="0" u="none" strike="noStrike" kern="1200" cap="none" spc="0" baseline="0">
                <a:solidFill>
                  <a:srgbClr val="595959"/>
                </a:solidFill>
                <a:uFillTx/>
                <a:latin typeface="Calibri"/>
              </a:rPr>
              <a:t>Cummulative pressure graph</a:t>
            </a:r>
          </a:p>
        </c:rich>
      </c:tx>
      <c:overlay val="0"/>
      <c:spPr>
        <a:noFill/>
        <a:ln>
          <a:noFill/>
        </a:ln>
      </c:spPr>
    </c:title>
    <c:autoTitleDeleted val="0"/>
    <c:plotArea>
      <c:layout/>
      <c:scatterChart>
        <c:scatterStyle val="lineMarker"/>
        <c:varyColors val="0"/>
        <c:ser>
          <c:idx val="0"/>
          <c:order val="0"/>
          <c:tx>
            <c:v>Ʃ σsoil pressure</c:v>
          </c:tx>
          <c:spPr>
            <a:ln w="19046" cap="rnd">
              <a:solidFill>
                <a:srgbClr val="C00000"/>
              </a:solidFill>
              <a:prstDash val="solid"/>
              <a:round/>
            </a:ln>
          </c:spPr>
          <c:marker>
            <c:spPr>
              <a:solidFill>
                <a:srgbClr val="C00000"/>
              </a:solidFill>
              <a:ln>
                <a:solidFill>
                  <a:srgbClr val="C00000"/>
                </a:solidFill>
              </a:ln>
            </c:spPr>
          </c:marker>
          <c:xVal>
            <c:numRef>
              <c:f>('1__Current_Ground_Structure'!$E$9,'1__Current_Ground_Structure'!$D$19,'1__Current_Ground_Structure'!$D$33,'1__Current_Ground_Structure'!$D$47,'1__Current_Ground_Structure'!$D$61,'1__Current_Ground_Structure'!$D$75)</c:f>
              <c:numCache>
                <c:formatCode>General</c:formatCode>
                <c:ptCount val="6"/>
                <c:pt idx="0">
                  <c:v>0</c:v>
                </c:pt>
                <c:pt idx="1">
                  <c:v>83.9</c:v>
                </c:pt>
                <c:pt idx="2">
                  <c:v>185.9</c:v>
                </c:pt>
                <c:pt idx="3">
                  <c:v>265.89999999999998</c:v>
                </c:pt>
                <c:pt idx="4">
                  <c:v>379.9</c:v>
                </c:pt>
                <c:pt idx="5">
                  <c:v>436.9</c:v>
                </c:pt>
              </c:numCache>
            </c:numRef>
          </c:xVal>
          <c:yVal>
            <c:numRef>
              <c:f>('1__Current_Ground_Structure'!$E$9,'1__Current_Ground_Structure'!$F$9:$F$13)</c:f>
              <c:numCache>
                <c:formatCode>General</c:formatCode>
                <c:ptCount val="6"/>
                <c:pt idx="0">
                  <c:v>0</c:v>
                </c:pt>
                <c:pt idx="1">
                  <c:v>-6</c:v>
                </c:pt>
                <c:pt idx="2">
                  <c:v>-12</c:v>
                </c:pt>
                <c:pt idx="3">
                  <c:v>-16</c:v>
                </c:pt>
                <c:pt idx="4">
                  <c:v>-22</c:v>
                </c:pt>
                <c:pt idx="5">
                  <c:v>-25</c:v>
                </c:pt>
              </c:numCache>
            </c:numRef>
          </c:yVal>
          <c:smooth val="0"/>
          <c:extLst>
            <c:ext xmlns:c16="http://schemas.microsoft.com/office/drawing/2014/chart" uri="{C3380CC4-5D6E-409C-BE32-E72D297353CC}">
              <c16:uniqueId val="{00000000-7EBB-4ACE-937B-1412EC2F3904}"/>
            </c:ext>
          </c:extLst>
        </c:ser>
        <c:ser>
          <c:idx val="1"/>
          <c:order val="1"/>
          <c:tx>
            <c:v>Ʃ σwater pressure</c:v>
          </c:tx>
          <c:spPr>
            <a:ln w="19046" cap="rnd">
              <a:solidFill>
                <a:srgbClr val="0070C0"/>
              </a:solidFill>
              <a:prstDash val="solid"/>
              <a:round/>
            </a:ln>
          </c:spPr>
          <c:marker>
            <c:spPr>
              <a:solidFill>
                <a:srgbClr val="0070C0"/>
              </a:solidFill>
              <a:ln>
                <a:solidFill>
                  <a:srgbClr val="0070C0"/>
                </a:solidFill>
              </a:ln>
            </c:spPr>
          </c:marker>
          <c:xVal>
            <c:numRef>
              <c:f>('1__Current_Ground_Structure'!$E$9,'1__Current_Ground_Structure'!$D$21,'1__Current_Ground_Structure'!$D$35,'1__Current_Ground_Structure'!$D$49,'1__Current_Ground_Structure'!$D$63,'1__Current_Ground_Structure'!$D$77)</c:f>
              <c:numCache>
                <c:formatCode>General</c:formatCode>
                <c:ptCount val="6"/>
                <c:pt idx="0">
                  <c:v>0</c:v>
                </c:pt>
                <c:pt idx="1">
                  <c:v>59</c:v>
                </c:pt>
                <c:pt idx="2">
                  <c:v>119</c:v>
                </c:pt>
                <c:pt idx="3">
                  <c:v>159</c:v>
                </c:pt>
                <c:pt idx="4">
                  <c:v>219</c:v>
                </c:pt>
                <c:pt idx="5">
                  <c:v>249</c:v>
                </c:pt>
              </c:numCache>
            </c:numRef>
          </c:xVal>
          <c:yVal>
            <c:numRef>
              <c:f>('1__Current_Ground_Structure'!$E$9,'1__Current_Ground_Structure'!$F$9:$F$13)</c:f>
              <c:numCache>
                <c:formatCode>General</c:formatCode>
                <c:ptCount val="6"/>
                <c:pt idx="0">
                  <c:v>0</c:v>
                </c:pt>
                <c:pt idx="1">
                  <c:v>-6</c:v>
                </c:pt>
                <c:pt idx="2">
                  <c:v>-12</c:v>
                </c:pt>
                <c:pt idx="3">
                  <c:v>-16</c:v>
                </c:pt>
                <c:pt idx="4">
                  <c:v>-22</c:v>
                </c:pt>
                <c:pt idx="5">
                  <c:v>-25</c:v>
                </c:pt>
              </c:numCache>
            </c:numRef>
          </c:yVal>
          <c:smooth val="0"/>
          <c:extLst>
            <c:ext xmlns:c16="http://schemas.microsoft.com/office/drawing/2014/chart" uri="{C3380CC4-5D6E-409C-BE32-E72D297353CC}">
              <c16:uniqueId val="{00000001-7EBB-4ACE-937B-1412EC2F3904}"/>
            </c:ext>
          </c:extLst>
        </c:ser>
        <c:ser>
          <c:idx val="2"/>
          <c:order val="2"/>
          <c:tx>
            <c:v>Ʃ σeffective grain pressure</c:v>
          </c:tx>
          <c:spPr>
            <a:ln w="19046" cap="rnd">
              <a:solidFill>
                <a:srgbClr val="A5A5A5"/>
              </a:solidFill>
              <a:prstDash val="solid"/>
              <a:round/>
            </a:ln>
          </c:spPr>
          <c:xVal>
            <c:numRef>
              <c:f>('1__Current_Ground_Structure'!$E$9,'1__Current_Ground_Structure'!$D$23,'1__Current_Ground_Structure'!$D$37,'1__Current_Ground_Structure'!$D$51,'1__Current_Ground_Structure'!$D$65,'1__Current_Ground_Structure'!$D$79)</c:f>
              <c:numCache>
                <c:formatCode>General</c:formatCode>
                <c:ptCount val="6"/>
                <c:pt idx="0">
                  <c:v>0</c:v>
                </c:pt>
                <c:pt idx="1">
                  <c:v>24.900000000000006</c:v>
                </c:pt>
                <c:pt idx="2">
                  <c:v>66.900000000000006</c:v>
                </c:pt>
                <c:pt idx="3">
                  <c:v>106.9</c:v>
                </c:pt>
                <c:pt idx="4">
                  <c:v>160.9</c:v>
                </c:pt>
                <c:pt idx="5">
                  <c:v>187.9</c:v>
                </c:pt>
              </c:numCache>
            </c:numRef>
          </c:xVal>
          <c:yVal>
            <c:numRef>
              <c:f>('1__Current_Ground_Structure'!$E$9,'1__Current_Ground_Structure'!$F$9:$F$13)</c:f>
              <c:numCache>
                <c:formatCode>General</c:formatCode>
                <c:ptCount val="6"/>
                <c:pt idx="0">
                  <c:v>0</c:v>
                </c:pt>
                <c:pt idx="1">
                  <c:v>-6</c:v>
                </c:pt>
                <c:pt idx="2">
                  <c:v>-12</c:v>
                </c:pt>
                <c:pt idx="3">
                  <c:v>-16</c:v>
                </c:pt>
                <c:pt idx="4">
                  <c:v>-22</c:v>
                </c:pt>
                <c:pt idx="5">
                  <c:v>-25</c:v>
                </c:pt>
              </c:numCache>
            </c:numRef>
          </c:yVal>
          <c:smooth val="0"/>
          <c:extLst>
            <c:ext xmlns:c16="http://schemas.microsoft.com/office/drawing/2014/chart" uri="{C3380CC4-5D6E-409C-BE32-E72D297353CC}">
              <c16:uniqueId val="{00000002-7EBB-4ACE-937B-1412EC2F3904}"/>
            </c:ext>
          </c:extLst>
        </c:ser>
        <c:dLbls>
          <c:showLegendKey val="0"/>
          <c:showVal val="0"/>
          <c:showCatName val="0"/>
          <c:showSerName val="0"/>
          <c:showPercent val="0"/>
          <c:showBubbleSize val="0"/>
        </c:dLbls>
        <c:axId val="326546368"/>
        <c:axId val="326546696"/>
      </c:scatterChart>
      <c:valAx>
        <c:axId val="326546696"/>
        <c:scaling>
          <c:orientation val="minMax"/>
        </c:scaling>
        <c:delete val="0"/>
        <c:axPos val="l"/>
        <c:majorGridlines>
          <c:spPr>
            <a:ln w="9528" cap="flat">
              <a:solidFill>
                <a:srgbClr val="D9D9D9"/>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595959"/>
                    </a:solidFill>
                    <a:latin typeface="Calibri"/>
                  </a:defRPr>
                </a:pPr>
                <a:r>
                  <a:rPr lang="nl-NL" sz="1000" b="0" i="0" u="none" strike="noStrike" kern="1200" cap="none" spc="0" baseline="0">
                    <a:solidFill>
                      <a:srgbClr val="595959"/>
                    </a:solidFill>
                    <a:uFillTx/>
                    <a:latin typeface="Calibri"/>
                  </a:rPr>
                  <a:t>Height related to surface level (in m)</a:t>
                </a:r>
              </a:p>
            </c:rich>
          </c:tx>
          <c:overlay val="0"/>
          <c:spPr>
            <a:noFill/>
            <a:ln>
              <a:noFill/>
            </a:ln>
          </c:spPr>
        </c:title>
        <c:numFmt formatCode="General" sourceLinked="1"/>
        <c:majorTickMark val="none"/>
        <c:minorTickMark val="none"/>
        <c:tickLblPos val="nextTo"/>
        <c:spPr>
          <a:noFill/>
          <a:ln w="9528" cap="flat">
            <a:solidFill>
              <a:srgbClr val="BFBFBF"/>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595959"/>
                </a:solidFill>
                <a:latin typeface="Calibri"/>
              </a:defRPr>
            </a:pPr>
            <a:endParaRPr lang="nl-NL"/>
          </a:p>
        </c:txPr>
        <c:crossAx val="326546368"/>
        <c:crosses val="autoZero"/>
        <c:crossBetween val="midCat"/>
      </c:valAx>
      <c:valAx>
        <c:axId val="326546368"/>
        <c:scaling>
          <c:orientation val="minMax"/>
        </c:scaling>
        <c:delete val="0"/>
        <c:axPos val="b"/>
        <c:majorGridlines>
          <c:spPr>
            <a:ln>
              <a:noFill/>
            </a:ln>
          </c:spPr>
        </c:majorGridlines>
        <c:title>
          <c:tx>
            <c:rich>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595959"/>
                    </a:solidFill>
                    <a:latin typeface="Calibri"/>
                  </a:defRPr>
                </a:pPr>
                <a:r>
                  <a:rPr lang="nl-NL" sz="1000" b="0" i="0" u="none" strike="noStrike" kern="1200" cap="none" spc="0" baseline="0">
                    <a:solidFill>
                      <a:srgbClr val="595959"/>
                    </a:solidFill>
                    <a:uFillTx/>
                    <a:latin typeface="Calibri"/>
                  </a:rPr>
                  <a:t>Cummulative pressure (KN/m2)</a:t>
                </a:r>
              </a:p>
            </c:rich>
          </c:tx>
          <c:overlay val="0"/>
          <c:spPr>
            <a:noFill/>
            <a:ln>
              <a:noFill/>
            </a:ln>
          </c:spPr>
        </c:title>
        <c:numFmt formatCode="General" sourceLinked="1"/>
        <c:majorTickMark val="none"/>
        <c:minorTickMark val="none"/>
        <c:tickLblPos val="high"/>
        <c:spPr>
          <a:noFill/>
          <a:ln w="9528" cap="flat">
            <a:solidFill>
              <a:srgbClr val="BFBFBF"/>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595959"/>
                </a:solidFill>
                <a:latin typeface="Calibri"/>
              </a:defRPr>
            </a:pPr>
            <a:endParaRPr lang="nl-NL"/>
          </a:p>
        </c:txPr>
        <c:crossAx val="326546696"/>
        <c:crosses val="autoZero"/>
        <c:crossBetween val="midCat"/>
      </c:valAx>
      <c:spPr>
        <a:noFill/>
        <a:ln>
          <a:noFill/>
        </a:ln>
      </c:spPr>
    </c:plotArea>
    <c:legend>
      <c:legendPos val="b"/>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nl-NL"/>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nl-NL" sz="1000" b="0" i="0" u="none" strike="noStrike" kern="1200" baseline="0">
          <a:solidFill>
            <a:srgbClr val="000000"/>
          </a:solidFill>
          <a:latin typeface="Calibri"/>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Subsidence</a:t>
            </a:r>
            <a:r>
              <a:rPr lang="en-US" baseline="0"/>
              <a:t> graph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tx>
            <c:strRef>
              <c:f>'3__Output_soil_subsidence'!$M$12</c:f>
              <c:strCache>
                <c:ptCount val="1"/>
                <c:pt idx="0">
                  <c:v>Ʃ Subsidence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'3__Output_soil_subsidence'!$M$13:$M$17</c:f>
              <c:numCache>
                <c:formatCode>_ * #,##0.000_ ;_ * \-#,##0.000_ ;_ * "-"???_ ;_ @_ </c:formatCode>
                <c:ptCount val="5"/>
                <c:pt idx="0">
                  <c:v>0</c:v>
                </c:pt>
                <c:pt idx="1">
                  <c:v>0</c:v>
                </c:pt>
                <c:pt idx="2">
                  <c:v>0</c:v>
                </c:pt>
                <c:pt idx="3">
                  <c:v>0</c:v>
                </c:pt>
                <c:pt idx="4">
                  <c:v>0</c:v>
                </c:pt>
              </c:numCache>
            </c:numRef>
          </c:xVal>
          <c:yVal>
            <c:numRef>
              <c:f>('1__Current_Ground_Structure'!$E$9,'1__Current_Ground_Structure'!$F$9:$F$13)</c:f>
              <c:numCache>
                <c:formatCode>General</c:formatCode>
                <c:ptCount val="6"/>
                <c:pt idx="0">
                  <c:v>0</c:v>
                </c:pt>
                <c:pt idx="1">
                  <c:v>-6</c:v>
                </c:pt>
                <c:pt idx="2">
                  <c:v>-12</c:v>
                </c:pt>
                <c:pt idx="3">
                  <c:v>-16</c:v>
                </c:pt>
                <c:pt idx="4">
                  <c:v>-22</c:v>
                </c:pt>
                <c:pt idx="5">
                  <c:v>-25</c:v>
                </c:pt>
              </c:numCache>
            </c:numRef>
          </c:yVal>
          <c:smooth val="0"/>
          <c:extLst>
            <c:ext xmlns:c16="http://schemas.microsoft.com/office/drawing/2014/chart" uri="{C3380CC4-5D6E-409C-BE32-E72D297353CC}">
              <c16:uniqueId val="{00000002-D8B7-404E-892E-A6DFBFED840B}"/>
            </c:ext>
          </c:extLst>
        </c:ser>
        <c:dLbls>
          <c:showLegendKey val="0"/>
          <c:showVal val="0"/>
          <c:showCatName val="0"/>
          <c:showSerName val="0"/>
          <c:showPercent val="0"/>
          <c:showBubbleSize val="0"/>
        </c:dLbls>
        <c:axId val="273261984"/>
        <c:axId val="273261328"/>
      </c:scatterChart>
      <c:valAx>
        <c:axId val="2732619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Subsidence (in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00" sourceLinked="0"/>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73261328"/>
        <c:crosses val="autoZero"/>
        <c:crossBetween val="midCat"/>
      </c:valAx>
      <c:valAx>
        <c:axId val="27326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Height</a:t>
                </a:r>
                <a:r>
                  <a:rPr lang="nl-NL" baseline="0"/>
                  <a:t> related to surface level (in m)</a:t>
                </a:r>
                <a:endParaRPr lang="nl-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73261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D$10"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198120</xdr:colOff>
      <xdr:row>18</xdr:row>
      <xdr:rowOff>53340</xdr:rowOff>
    </xdr:from>
    <xdr:to>
      <xdr:col>5</xdr:col>
      <xdr:colOff>91440</xdr:colOff>
      <xdr:row>22</xdr:row>
      <xdr:rowOff>103032</xdr:rowOff>
    </xdr:to>
    <xdr:pic>
      <xdr:nvPicPr>
        <xdr:cNvPr id="4" name="Picture 2">
          <a:extLst>
            <a:ext uri="{FF2B5EF4-FFF2-40B4-BE49-F238E27FC236}">
              <a16:creationId xmlns:a16="http://schemas.microsoft.com/office/drawing/2014/main" id="{00000000-0008-0000-0000-000004000000}"/>
            </a:ext>
          </a:extLst>
        </xdr:cNvPr>
        <xdr:cNvPicPr>
          <a:picLocks noGrp="1"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966" r="34757" b="59956"/>
        <a:stretch/>
      </xdr:blipFill>
      <xdr:spPr bwMode="auto">
        <a:xfrm>
          <a:off x="678180" y="3291840"/>
          <a:ext cx="2926080" cy="78121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2</xdr:col>
      <xdr:colOff>236219</xdr:colOff>
      <xdr:row>12</xdr:row>
      <xdr:rowOff>99060</xdr:rowOff>
    </xdr:from>
    <xdr:to>
      <xdr:col>8</xdr:col>
      <xdr:colOff>153070</xdr:colOff>
      <xdr:row>16</xdr:row>
      <xdr:rowOff>68580</xdr:rowOff>
    </xdr:to>
    <xdr:pic>
      <xdr:nvPicPr>
        <xdr:cNvPr id="5" name="Picture 2">
          <a:extLst>
            <a:ext uri="{FF2B5EF4-FFF2-40B4-BE49-F238E27FC236}">
              <a16:creationId xmlns:a16="http://schemas.microsoft.com/office/drawing/2014/main" id="{00000000-0008-0000-0000-000005000000}"/>
            </a:ext>
          </a:extLst>
        </xdr:cNvPr>
        <xdr:cNvPicPr>
          <a:picLocks noGrp="1"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13" t="70300" r="13113" b="9410"/>
        <a:stretch/>
      </xdr:blipFill>
      <xdr:spPr bwMode="auto">
        <a:xfrm>
          <a:off x="716279" y="2240280"/>
          <a:ext cx="5159411" cy="70104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22860</xdr:colOff>
      <xdr:row>16</xdr:row>
      <xdr:rowOff>38101</xdr:rowOff>
    </xdr:from>
    <xdr:ext cx="4434840" cy="5219700"/>
    <xdr:graphicFrame macro="">
      <xdr:nvGraphicFramePr>
        <xdr:cNvPr id="2" name="Grafiek 5">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22860</xdr:colOff>
          <xdr:row>3</xdr:row>
          <xdr:rowOff>0</xdr:rowOff>
        </xdr:from>
        <xdr:to>
          <xdr:col>5</xdr:col>
          <xdr:colOff>0</xdr:colOff>
          <xdr:row>7</xdr:row>
          <xdr:rowOff>175260</xdr:rowOff>
        </xdr:to>
        <xdr:grpSp>
          <xdr:nvGrpSpPr>
            <xdr:cNvPr id="3" name="Groep 2">
              <a:extLst>
                <a:ext uri="{FF2B5EF4-FFF2-40B4-BE49-F238E27FC236}">
                  <a16:creationId xmlns:a16="http://schemas.microsoft.com/office/drawing/2014/main" id="{00000000-0008-0000-0300-000003000000}"/>
                </a:ext>
              </a:extLst>
            </xdr:cNvPr>
            <xdr:cNvGrpSpPr/>
          </xdr:nvGrpSpPr>
          <xdr:grpSpPr>
            <a:xfrm>
              <a:off x="1821180" y="586740"/>
              <a:ext cx="1844040" cy="1143000"/>
              <a:chOff x="1821180" y="655320"/>
              <a:chExt cx="1844040" cy="1493521"/>
            </a:xfrm>
          </xdr:grpSpPr>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1828800" y="655320"/>
                <a:ext cx="1645920" cy="4419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Solution 1 : Raising with current method</a:t>
                </a:r>
              </a:p>
            </xdr:txBody>
          </xdr:sp>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1828800" y="960120"/>
                <a:ext cx="1836420" cy="2667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Solution 2: Water buffer crates</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1828800" y="1215967"/>
                <a:ext cx="1836420" cy="1708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Solution 3: Lava stones</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1828800" y="1386840"/>
                <a:ext cx="183642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Solution 4: Bamboo chips</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1821180" y="1554481"/>
                <a:ext cx="183642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Solution 5: Plastic road</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1821180" y="1744980"/>
                <a:ext cx="1722120" cy="403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Solution 6: Bamboo chips + plastic road</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91441</xdr:rowOff>
        </xdr:from>
        <xdr:to>
          <xdr:col>8</xdr:col>
          <xdr:colOff>22860</xdr:colOff>
          <xdr:row>23</xdr:row>
          <xdr:rowOff>735331</xdr:rowOff>
        </xdr:to>
        <xdr:pic>
          <xdr:nvPicPr>
            <xdr:cNvPr id="10" name="Afbeelding 9">
              <a:extLst>
                <a:ext uri="{FF2B5EF4-FFF2-40B4-BE49-F238E27FC236}">
                  <a16:creationId xmlns:a16="http://schemas.microsoft.com/office/drawing/2014/main" id="{00000000-0008-0000-0300-00000A000000}"/>
                </a:ext>
              </a:extLst>
            </xdr:cNvPr>
            <xdr:cNvPicPr>
              <a:picLocks noChangeAspect="1"/>
              <a:extLst>
                <a:ext uri="{84589F7E-364E-4C9E-8A38-B11213B215E9}">
                  <a14:cameraTool cellRange="Productafbeelding" spid="_x0000_s1053"/>
                </a:ext>
              </a:extLst>
            </xdr:cNvPicPr>
          </xdr:nvPicPr>
          <xdr:blipFill>
            <a:blip xmlns:r="http://schemas.openxmlformats.org/officeDocument/2006/relationships" r:embed="rId1"/>
            <a:stretch>
              <a:fillRect/>
            </a:stretch>
          </xdr:blipFill>
          <xdr:spPr>
            <a:xfrm>
              <a:off x="457200" y="3459481"/>
              <a:ext cx="5387340" cy="1924050"/>
            </a:xfrm>
            <a:prstGeom prst="rect">
              <a:avLst/>
            </a:prstGeom>
          </xdr:spPr>
        </xdr:pic>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205288</xdr:colOff>
      <xdr:row>0</xdr:row>
      <xdr:rowOff>54428</xdr:rowOff>
    </xdr:from>
    <xdr:to>
      <xdr:col>0</xdr:col>
      <xdr:colOff>6019800</xdr:colOff>
      <xdr:row>0</xdr:row>
      <xdr:rowOff>1683125</xdr:rowOff>
    </xdr:to>
    <xdr:pic>
      <xdr:nvPicPr>
        <xdr:cNvPr id="3" name="Afbeelding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288" y="54428"/>
          <a:ext cx="5814512" cy="1628697"/>
        </a:xfrm>
        <a:prstGeom prst="rect">
          <a:avLst/>
        </a:prstGeom>
      </xdr:spPr>
    </xdr:pic>
    <xdr:clientData/>
  </xdr:twoCellAnchor>
  <xdr:twoCellAnchor editAs="oneCell">
    <xdr:from>
      <xdr:col>0</xdr:col>
      <xdr:colOff>239447</xdr:colOff>
      <xdr:row>1</xdr:row>
      <xdr:rowOff>155124</xdr:rowOff>
    </xdr:from>
    <xdr:to>
      <xdr:col>0</xdr:col>
      <xdr:colOff>6057900</xdr:colOff>
      <xdr:row>1</xdr:row>
      <xdr:rowOff>1672083</xdr:rowOff>
    </xdr:to>
    <xdr:pic>
      <xdr:nvPicPr>
        <xdr:cNvPr id="5" name="Afbeelding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447" y="2079174"/>
          <a:ext cx="5818453" cy="1516959"/>
        </a:xfrm>
        <a:prstGeom prst="rect">
          <a:avLst/>
        </a:prstGeom>
      </xdr:spPr>
    </xdr:pic>
    <xdr:clientData/>
  </xdr:twoCellAnchor>
  <xdr:twoCellAnchor editAs="oneCell">
    <xdr:from>
      <xdr:col>0</xdr:col>
      <xdr:colOff>236057</xdr:colOff>
      <xdr:row>4</xdr:row>
      <xdr:rowOff>143125</xdr:rowOff>
    </xdr:from>
    <xdr:to>
      <xdr:col>0</xdr:col>
      <xdr:colOff>5600700</xdr:colOff>
      <xdr:row>4</xdr:row>
      <xdr:rowOff>1587605</xdr:rowOff>
    </xdr:to>
    <xdr:pic>
      <xdr:nvPicPr>
        <xdr:cNvPr id="7" name="Afbeelding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6057" y="12106525"/>
          <a:ext cx="5364643" cy="1444480"/>
        </a:xfrm>
        <a:prstGeom prst="rect">
          <a:avLst/>
        </a:prstGeom>
      </xdr:spPr>
    </xdr:pic>
    <xdr:clientData/>
  </xdr:twoCellAnchor>
  <xdr:twoCellAnchor editAs="oneCell">
    <xdr:from>
      <xdr:col>0</xdr:col>
      <xdr:colOff>377892</xdr:colOff>
      <xdr:row>5</xdr:row>
      <xdr:rowOff>16072</xdr:rowOff>
    </xdr:from>
    <xdr:to>
      <xdr:col>0</xdr:col>
      <xdr:colOff>6000750</xdr:colOff>
      <xdr:row>5</xdr:row>
      <xdr:rowOff>1627718</xdr:rowOff>
    </xdr:to>
    <xdr:pic>
      <xdr:nvPicPr>
        <xdr:cNvPr id="9" name="Afbeelding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7892" y="14970322"/>
          <a:ext cx="5622858" cy="1611646"/>
        </a:xfrm>
        <a:prstGeom prst="rect">
          <a:avLst/>
        </a:prstGeom>
      </xdr:spPr>
    </xdr:pic>
    <xdr:clientData/>
  </xdr:twoCellAnchor>
  <xdr:twoCellAnchor editAs="oneCell">
    <xdr:from>
      <xdr:col>0</xdr:col>
      <xdr:colOff>256839</xdr:colOff>
      <xdr:row>3</xdr:row>
      <xdr:rowOff>40886</xdr:rowOff>
    </xdr:from>
    <xdr:to>
      <xdr:col>0</xdr:col>
      <xdr:colOff>5695950</xdr:colOff>
      <xdr:row>3</xdr:row>
      <xdr:rowOff>1511392</xdr:rowOff>
    </xdr:to>
    <xdr:pic>
      <xdr:nvPicPr>
        <xdr:cNvPr id="11" name="Afbeelding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6839" y="9013436"/>
          <a:ext cx="5439111" cy="1470506"/>
        </a:xfrm>
        <a:prstGeom prst="rect">
          <a:avLst/>
        </a:prstGeom>
      </xdr:spPr>
    </xdr:pic>
    <xdr:clientData/>
  </xdr:twoCellAnchor>
  <xdr:twoCellAnchor editAs="oneCell">
    <xdr:from>
      <xdr:col>0</xdr:col>
      <xdr:colOff>416049</xdr:colOff>
      <xdr:row>2</xdr:row>
      <xdr:rowOff>46494</xdr:rowOff>
    </xdr:from>
    <xdr:to>
      <xdr:col>0</xdr:col>
      <xdr:colOff>5943600</xdr:colOff>
      <xdr:row>2</xdr:row>
      <xdr:rowOff>1580744</xdr:rowOff>
    </xdr:to>
    <xdr:pic>
      <xdr:nvPicPr>
        <xdr:cNvPr id="13" name="Afbeelding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6049" y="6028194"/>
          <a:ext cx="5527551" cy="1534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68580</xdr:colOff>
      <xdr:row>20</xdr:row>
      <xdr:rowOff>99060</xdr:rowOff>
    </xdr:from>
    <xdr:to>
      <xdr:col>12</xdr:col>
      <xdr:colOff>670560</xdr:colOff>
      <xdr:row>48</xdr:row>
      <xdr:rowOff>106680</xdr:rowOff>
    </xdr:to>
    <xdr:graphicFrame macro="">
      <xdr:nvGraphicFramePr>
        <xdr:cNvPr id="2" name="Grafiek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2DC06-F92F-449F-B691-D07B2201F2E6}">
  <dimension ref="B1:N47"/>
  <sheetViews>
    <sheetView tabSelected="1" view="pageBreakPreview" topLeftCell="A28" zoomScaleNormal="100" zoomScaleSheetLayoutView="100" workbookViewId="0">
      <selection activeCell="C24" sqref="C24:L36"/>
    </sheetView>
  </sheetViews>
  <sheetFormatPr defaultRowHeight="14.4" x14ac:dyDescent="0.3"/>
  <cols>
    <col min="1" max="1" width="4.5546875" customWidth="1"/>
    <col min="2" max="2" width="2.44140625" customWidth="1"/>
    <col min="3" max="3" width="18.77734375" customWidth="1"/>
    <col min="4" max="4" width="16" customWidth="1"/>
    <col min="5" max="5" width="9.44140625" customWidth="1"/>
    <col min="6" max="6" width="10.6640625" customWidth="1"/>
    <col min="7" max="8" width="10.77734375" customWidth="1"/>
    <col min="9" max="12" width="4.77734375" customWidth="1"/>
    <col min="13" max="13" width="3" customWidth="1"/>
    <col min="14" max="14" width="5.109375" customWidth="1"/>
    <col min="15" max="15" width="8.88671875" customWidth="1"/>
  </cols>
  <sheetData>
    <row r="1" spans="2:14" ht="10.199999999999999" customHeight="1" x14ac:dyDescent="0.3"/>
    <row r="2" spans="2:14" ht="21.6" customHeight="1" x14ac:dyDescent="0.35">
      <c r="B2" s="104" t="s">
        <v>74</v>
      </c>
      <c r="C2" s="104"/>
      <c r="D2" s="104"/>
      <c r="E2" s="104"/>
      <c r="F2" s="104"/>
      <c r="G2" s="104"/>
      <c r="H2" s="104"/>
      <c r="I2" s="104"/>
      <c r="J2" s="104"/>
      <c r="K2" s="104"/>
      <c r="L2" s="104"/>
      <c r="M2" s="104"/>
    </row>
    <row r="3" spans="2:14" ht="11.4" customHeight="1" thickBot="1" x14ac:dyDescent="0.4">
      <c r="B3" s="104"/>
      <c r="C3" s="104"/>
      <c r="D3" s="104"/>
      <c r="E3" s="104"/>
      <c r="F3" s="104"/>
      <c r="G3" s="104"/>
      <c r="H3" s="104"/>
      <c r="I3" s="104"/>
      <c r="J3" s="104"/>
      <c r="K3" s="104"/>
      <c r="L3" s="104"/>
      <c r="M3" s="104"/>
    </row>
    <row r="4" spans="2:14" ht="14.4" customHeight="1" x14ac:dyDescent="0.35">
      <c r="B4" s="104"/>
      <c r="C4" s="111" t="s">
        <v>77</v>
      </c>
      <c r="D4" s="112"/>
      <c r="E4" s="112"/>
      <c r="F4" s="112"/>
      <c r="G4" s="112"/>
      <c r="H4" s="112"/>
      <c r="I4" s="112"/>
      <c r="J4" s="112"/>
      <c r="K4" s="112"/>
      <c r="L4" s="113"/>
      <c r="M4" s="104"/>
    </row>
    <row r="5" spans="2:14" x14ac:dyDescent="0.3">
      <c r="B5" s="104"/>
      <c r="C5" s="105" t="s">
        <v>105</v>
      </c>
      <c r="D5" s="106"/>
      <c r="E5" s="106"/>
      <c r="F5" s="106"/>
      <c r="G5" s="106"/>
      <c r="H5" s="106"/>
      <c r="I5" s="106"/>
      <c r="J5" s="106"/>
      <c r="K5" s="106"/>
      <c r="L5" s="107"/>
      <c r="M5" s="104"/>
    </row>
    <row r="6" spans="2:14" x14ac:dyDescent="0.3">
      <c r="B6" s="104"/>
      <c r="C6" s="105"/>
      <c r="D6" s="106"/>
      <c r="E6" s="106"/>
      <c r="F6" s="106"/>
      <c r="G6" s="106"/>
      <c r="H6" s="106"/>
      <c r="I6" s="106"/>
      <c r="J6" s="106"/>
      <c r="K6" s="106"/>
      <c r="L6" s="107"/>
      <c r="M6" s="104"/>
    </row>
    <row r="7" spans="2:14" x14ac:dyDescent="0.3">
      <c r="B7" s="104"/>
      <c r="C7" s="105"/>
      <c r="D7" s="106"/>
      <c r="E7" s="106"/>
      <c r="F7" s="106"/>
      <c r="G7" s="106"/>
      <c r="H7" s="106"/>
      <c r="I7" s="106"/>
      <c r="J7" s="106"/>
      <c r="K7" s="106"/>
      <c r="L7" s="107"/>
      <c r="M7" s="104"/>
    </row>
    <row r="8" spans="2:14" ht="15" thickBot="1" x14ac:dyDescent="0.35">
      <c r="B8" s="104"/>
      <c r="C8" s="108"/>
      <c r="D8" s="109"/>
      <c r="E8" s="109"/>
      <c r="F8" s="109"/>
      <c r="G8" s="109"/>
      <c r="H8" s="109"/>
      <c r="I8" s="109"/>
      <c r="J8" s="109"/>
      <c r="K8" s="109"/>
      <c r="L8" s="110"/>
      <c r="M8" s="104"/>
    </row>
    <row r="9" spans="2:14" ht="10.199999999999999" customHeight="1" thickBot="1" x14ac:dyDescent="0.35">
      <c r="B9" s="104"/>
      <c r="C9" s="114"/>
      <c r="D9" s="114"/>
      <c r="E9" s="114"/>
      <c r="F9" s="114"/>
      <c r="G9" s="114"/>
      <c r="H9" s="114"/>
      <c r="I9" s="114"/>
      <c r="J9" s="114"/>
      <c r="K9" s="114"/>
      <c r="L9" s="114"/>
      <c r="M9" s="104"/>
    </row>
    <row r="10" spans="2:14" x14ac:dyDescent="0.3">
      <c r="B10" s="104"/>
      <c r="C10" s="101" t="s">
        <v>78</v>
      </c>
      <c r="D10" s="102"/>
      <c r="E10" s="102"/>
      <c r="F10" s="102"/>
      <c r="G10" s="102"/>
      <c r="H10" s="102"/>
      <c r="I10" s="102"/>
      <c r="J10" s="102"/>
      <c r="K10" s="102"/>
      <c r="L10" s="103"/>
      <c r="M10" s="104"/>
    </row>
    <row r="11" spans="2:14" ht="14.4" customHeight="1" x14ac:dyDescent="0.3">
      <c r="B11" s="104"/>
      <c r="C11" s="115" t="s">
        <v>110</v>
      </c>
      <c r="D11" s="116"/>
      <c r="E11" s="116"/>
      <c r="F11" s="116"/>
      <c r="G11" s="116"/>
      <c r="H11" s="116"/>
      <c r="I11" s="116"/>
      <c r="J11" s="116"/>
      <c r="K11" s="116"/>
      <c r="L11" s="117"/>
      <c r="M11" s="104"/>
      <c r="N11" s="3"/>
    </row>
    <row r="12" spans="2:14" x14ac:dyDescent="0.3">
      <c r="B12" s="104"/>
      <c r="C12" s="115"/>
      <c r="D12" s="116"/>
      <c r="E12" s="116"/>
      <c r="F12" s="116"/>
      <c r="G12" s="116"/>
      <c r="H12" s="116"/>
      <c r="I12" s="116"/>
      <c r="J12" s="116"/>
      <c r="K12" s="116"/>
      <c r="L12" s="117"/>
      <c r="M12" s="104"/>
      <c r="N12" s="3"/>
    </row>
    <row r="13" spans="2:14" x14ac:dyDescent="0.3">
      <c r="B13" s="104"/>
      <c r="C13" s="118"/>
      <c r="D13" s="119"/>
      <c r="E13" s="119"/>
      <c r="F13" s="119"/>
      <c r="G13" s="119"/>
      <c r="H13" s="119"/>
      <c r="I13" s="119"/>
      <c r="J13" s="119"/>
      <c r="K13" s="119"/>
      <c r="L13" s="120"/>
      <c r="M13" s="104"/>
      <c r="N13" s="3"/>
    </row>
    <row r="14" spans="2:14" x14ac:dyDescent="0.3">
      <c r="B14" s="104"/>
      <c r="C14" s="118"/>
      <c r="D14" s="119"/>
      <c r="E14" s="119"/>
      <c r="F14" s="119"/>
      <c r="G14" s="119"/>
      <c r="H14" s="119"/>
      <c r="I14" s="119"/>
      <c r="J14" s="119"/>
      <c r="K14" s="119"/>
      <c r="L14" s="120"/>
      <c r="M14" s="104"/>
      <c r="N14" s="3"/>
    </row>
    <row r="15" spans="2:14" x14ac:dyDescent="0.3">
      <c r="B15" s="104"/>
      <c r="C15" s="118"/>
      <c r="D15" s="119"/>
      <c r="E15" s="119"/>
      <c r="F15" s="119"/>
      <c r="G15" s="119"/>
      <c r="H15" s="119"/>
      <c r="I15" s="119"/>
      <c r="J15" s="119"/>
      <c r="K15" s="119"/>
      <c r="L15" s="120"/>
      <c r="M15" s="104"/>
      <c r="N15" s="3"/>
    </row>
    <row r="16" spans="2:14" x14ac:dyDescent="0.3">
      <c r="B16" s="104"/>
      <c r="C16" s="118"/>
      <c r="D16" s="119"/>
      <c r="E16" s="119"/>
      <c r="F16" s="119"/>
      <c r="G16" s="119"/>
      <c r="H16" s="119"/>
      <c r="I16" s="119"/>
      <c r="J16" s="119"/>
      <c r="K16" s="119"/>
      <c r="L16" s="120"/>
      <c r="M16" s="104"/>
      <c r="N16" s="3"/>
    </row>
    <row r="17" spans="2:14" x14ac:dyDescent="0.3">
      <c r="B17" s="104"/>
      <c r="C17" s="118"/>
      <c r="D17" s="119"/>
      <c r="E17" s="119"/>
      <c r="F17" s="119"/>
      <c r="G17" s="119"/>
      <c r="H17" s="119"/>
      <c r="I17" s="119"/>
      <c r="J17" s="119"/>
      <c r="K17" s="119"/>
      <c r="L17" s="120"/>
      <c r="M17" s="104"/>
      <c r="N17" s="3"/>
    </row>
    <row r="18" spans="2:14" x14ac:dyDescent="0.3">
      <c r="B18" s="104"/>
      <c r="C18" s="121" t="s">
        <v>109</v>
      </c>
      <c r="D18" s="122"/>
      <c r="E18" s="122"/>
      <c r="F18" s="122"/>
      <c r="G18" s="122"/>
      <c r="H18" s="122"/>
      <c r="I18" s="122"/>
      <c r="J18" s="122"/>
      <c r="K18" s="122"/>
      <c r="L18" s="123"/>
      <c r="M18" s="104"/>
      <c r="N18" s="4"/>
    </row>
    <row r="19" spans="2:14" x14ac:dyDescent="0.3">
      <c r="B19" s="104"/>
      <c r="C19" s="124"/>
      <c r="D19" s="125"/>
      <c r="E19" s="125"/>
      <c r="F19" s="125"/>
      <c r="G19" s="125"/>
      <c r="H19" s="125"/>
      <c r="I19" s="125"/>
      <c r="J19" s="125"/>
      <c r="K19" s="125"/>
      <c r="L19" s="126"/>
      <c r="M19" s="104"/>
      <c r="N19" s="2"/>
    </row>
    <row r="20" spans="2:14" x14ac:dyDescent="0.3">
      <c r="B20" s="104"/>
      <c r="C20" s="124"/>
      <c r="D20" s="125"/>
      <c r="E20" s="125"/>
      <c r="F20" s="125"/>
      <c r="G20" s="125"/>
      <c r="H20" s="125"/>
      <c r="I20" s="125"/>
      <c r="J20" s="125"/>
      <c r="K20" s="125"/>
      <c r="L20" s="126"/>
      <c r="M20" s="104"/>
      <c r="N20" s="61"/>
    </row>
    <row r="21" spans="2:14" x14ac:dyDescent="0.3">
      <c r="B21" s="104"/>
      <c r="C21" s="124"/>
      <c r="D21" s="125"/>
      <c r="E21" s="125"/>
      <c r="F21" s="125"/>
      <c r="G21" s="125"/>
      <c r="H21" s="125"/>
      <c r="I21" s="125"/>
      <c r="J21" s="125"/>
      <c r="K21" s="125"/>
      <c r="L21" s="126"/>
      <c r="M21" s="104"/>
      <c r="N21" s="61"/>
    </row>
    <row r="22" spans="2:14" x14ac:dyDescent="0.3">
      <c r="B22" s="104"/>
      <c r="C22" s="124"/>
      <c r="D22" s="125"/>
      <c r="E22" s="125"/>
      <c r="F22" s="125"/>
      <c r="G22" s="125"/>
      <c r="H22" s="125"/>
      <c r="I22" s="125"/>
      <c r="J22" s="125"/>
      <c r="K22" s="125"/>
      <c r="L22" s="126"/>
      <c r="M22" s="104"/>
      <c r="N22" s="61"/>
    </row>
    <row r="23" spans="2:14" x14ac:dyDescent="0.3">
      <c r="B23" s="104"/>
      <c r="C23" s="124"/>
      <c r="D23" s="125"/>
      <c r="E23" s="125"/>
      <c r="F23" s="125"/>
      <c r="G23" s="125"/>
      <c r="H23" s="125"/>
      <c r="I23" s="125"/>
      <c r="J23" s="125"/>
      <c r="K23" s="125"/>
      <c r="L23" s="126"/>
      <c r="M23" s="104"/>
      <c r="N23" s="61"/>
    </row>
    <row r="24" spans="2:14" x14ac:dyDescent="0.3">
      <c r="B24" s="104"/>
      <c r="C24" s="137" t="s">
        <v>111</v>
      </c>
      <c r="D24" s="122"/>
      <c r="E24" s="122"/>
      <c r="F24" s="122"/>
      <c r="G24" s="122"/>
      <c r="H24" s="122"/>
      <c r="I24" s="122"/>
      <c r="J24" s="122"/>
      <c r="K24" s="122"/>
      <c r="L24" s="123"/>
      <c r="M24" s="104"/>
      <c r="N24" s="61"/>
    </row>
    <row r="25" spans="2:14" x14ac:dyDescent="0.3">
      <c r="B25" s="104"/>
      <c r="C25" s="121"/>
      <c r="D25" s="122"/>
      <c r="E25" s="122"/>
      <c r="F25" s="122"/>
      <c r="G25" s="122"/>
      <c r="H25" s="122"/>
      <c r="I25" s="122"/>
      <c r="J25" s="122"/>
      <c r="K25" s="122"/>
      <c r="L25" s="123"/>
      <c r="M25" s="104"/>
      <c r="N25" s="61"/>
    </row>
    <row r="26" spans="2:14" x14ac:dyDescent="0.3">
      <c r="B26" s="104"/>
      <c r="C26" s="121"/>
      <c r="D26" s="122"/>
      <c r="E26" s="122"/>
      <c r="F26" s="122"/>
      <c r="G26" s="122"/>
      <c r="H26" s="122"/>
      <c r="I26" s="122"/>
      <c r="J26" s="122"/>
      <c r="K26" s="122"/>
      <c r="L26" s="123"/>
      <c r="M26" s="104"/>
      <c r="N26" s="61"/>
    </row>
    <row r="27" spans="2:14" x14ac:dyDescent="0.3">
      <c r="B27" s="104"/>
      <c r="C27" s="121"/>
      <c r="D27" s="122"/>
      <c r="E27" s="122"/>
      <c r="F27" s="122"/>
      <c r="G27" s="122"/>
      <c r="H27" s="122"/>
      <c r="I27" s="122"/>
      <c r="J27" s="122"/>
      <c r="K27" s="122"/>
      <c r="L27" s="123"/>
      <c r="M27" s="104"/>
      <c r="N27" s="61"/>
    </row>
    <row r="28" spans="2:14" ht="12" customHeight="1" x14ac:dyDescent="0.3">
      <c r="B28" s="104"/>
      <c r="C28" s="121"/>
      <c r="D28" s="122"/>
      <c r="E28" s="122"/>
      <c r="F28" s="122"/>
      <c r="G28" s="122"/>
      <c r="H28" s="122"/>
      <c r="I28" s="122"/>
      <c r="J28" s="122"/>
      <c r="K28" s="122"/>
      <c r="L28" s="123"/>
      <c r="M28" s="104"/>
      <c r="N28" s="61"/>
    </row>
    <row r="29" spans="2:14" ht="12" customHeight="1" x14ac:dyDescent="0.3">
      <c r="B29" s="104"/>
      <c r="C29" s="121"/>
      <c r="D29" s="122"/>
      <c r="E29" s="122"/>
      <c r="F29" s="122"/>
      <c r="G29" s="122"/>
      <c r="H29" s="122"/>
      <c r="I29" s="122"/>
      <c r="J29" s="122"/>
      <c r="K29" s="122"/>
      <c r="L29" s="123"/>
      <c r="M29" s="104"/>
      <c r="N29" s="61"/>
    </row>
    <row r="30" spans="2:14" ht="12" customHeight="1" x14ac:dyDescent="0.3">
      <c r="B30" s="104"/>
      <c r="C30" s="121"/>
      <c r="D30" s="122"/>
      <c r="E30" s="122"/>
      <c r="F30" s="122"/>
      <c r="G30" s="122"/>
      <c r="H30" s="122"/>
      <c r="I30" s="122"/>
      <c r="J30" s="122"/>
      <c r="K30" s="122"/>
      <c r="L30" s="123"/>
      <c r="M30" s="104"/>
      <c r="N30" s="61"/>
    </row>
    <row r="31" spans="2:14" ht="12" customHeight="1" x14ac:dyDescent="0.3">
      <c r="B31" s="104"/>
      <c r="C31" s="121"/>
      <c r="D31" s="122"/>
      <c r="E31" s="122"/>
      <c r="F31" s="122"/>
      <c r="G31" s="122"/>
      <c r="H31" s="122"/>
      <c r="I31" s="122"/>
      <c r="J31" s="122"/>
      <c r="K31" s="122"/>
      <c r="L31" s="123"/>
      <c r="M31" s="104"/>
      <c r="N31" s="61"/>
    </row>
    <row r="32" spans="2:14" ht="12" customHeight="1" x14ac:dyDescent="0.3">
      <c r="B32" s="104"/>
      <c r="C32" s="121"/>
      <c r="D32" s="122"/>
      <c r="E32" s="122"/>
      <c r="F32" s="122"/>
      <c r="G32" s="122"/>
      <c r="H32" s="122"/>
      <c r="I32" s="122"/>
      <c r="J32" s="122"/>
      <c r="K32" s="122"/>
      <c r="L32" s="123"/>
      <c r="M32" s="104"/>
      <c r="N32" s="61"/>
    </row>
    <row r="33" spans="2:14" x14ac:dyDescent="0.3">
      <c r="B33" s="104"/>
      <c r="C33" s="121"/>
      <c r="D33" s="122"/>
      <c r="E33" s="122"/>
      <c r="F33" s="122"/>
      <c r="G33" s="122"/>
      <c r="H33" s="122"/>
      <c r="I33" s="122"/>
      <c r="J33" s="122"/>
      <c r="K33" s="122"/>
      <c r="L33" s="123"/>
      <c r="M33" s="104"/>
      <c r="N33" s="61"/>
    </row>
    <row r="34" spans="2:14" x14ac:dyDescent="0.3">
      <c r="B34" s="104"/>
      <c r="C34" s="121"/>
      <c r="D34" s="122"/>
      <c r="E34" s="122"/>
      <c r="F34" s="122"/>
      <c r="G34" s="122"/>
      <c r="H34" s="122"/>
      <c r="I34" s="122"/>
      <c r="J34" s="122"/>
      <c r="K34" s="122"/>
      <c r="L34" s="123"/>
      <c r="M34" s="104"/>
      <c r="N34" s="61"/>
    </row>
    <row r="35" spans="2:14" x14ac:dyDescent="0.3">
      <c r="B35" s="104"/>
      <c r="C35" s="121"/>
      <c r="D35" s="122"/>
      <c r="E35" s="122"/>
      <c r="F35" s="122"/>
      <c r="G35" s="122"/>
      <c r="H35" s="122"/>
      <c r="I35" s="122"/>
      <c r="J35" s="122"/>
      <c r="K35" s="122"/>
      <c r="L35" s="123"/>
      <c r="M35" s="104"/>
      <c r="N35" s="4"/>
    </row>
    <row r="36" spans="2:14" ht="15" thickBot="1" x14ac:dyDescent="0.35">
      <c r="B36" s="104"/>
      <c r="C36" s="138"/>
      <c r="D36" s="139"/>
      <c r="E36" s="139"/>
      <c r="F36" s="139"/>
      <c r="G36" s="139"/>
      <c r="H36" s="139"/>
      <c r="I36" s="139"/>
      <c r="J36" s="139"/>
      <c r="K36" s="139"/>
      <c r="L36" s="140"/>
      <c r="M36" s="104"/>
      <c r="N36" s="4"/>
    </row>
    <row r="37" spans="2:14" ht="15" thickBot="1" x14ac:dyDescent="0.35">
      <c r="B37" s="104"/>
      <c r="C37" s="130"/>
      <c r="D37" s="130"/>
      <c r="E37" s="130"/>
      <c r="F37" s="130"/>
      <c r="G37" s="130"/>
      <c r="H37" s="130"/>
      <c r="I37" s="130"/>
      <c r="J37" s="130"/>
      <c r="K37" s="130"/>
      <c r="L37" s="130"/>
      <c r="M37" s="104"/>
      <c r="N37" s="4"/>
    </row>
    <row r="38" spans="2:14" ht="14.4" customHeight="1" x14ac:dyDescent="0.35">
      <c r="B38" s="104"/>
      <c r="C38" s="141" t="s">
        <v>112</v>
      </c>
      <c r="D38" s="142"/>
      <c r="E38" s="142"/>
      <c r="F38" s="142"/>
      <c r="G38" s="142"/>
      <c r="H38" s="142"/>
      <c r="I38" s="142"/>
      <c r="J38" s="142"/>
      <c r="K38" s="142"/>
      <c r="L38" s="143"/>
      <c r="M38" s="104"/>
      <c r="N38" s="4"/>
    </row>
    <row r="39" spans="2:14" ht="14.4" customHeight="1" x14ac:dyDescent="0.3">
      <c r="B39" s="104"/>
      <c r="C39" s="144" t="s">
        <v>115</v>
      </c>
      <c r="D39" s="145"/>
      <c r="E39" s="145"/>
      <c r="F39" s="145"/>
      <c r="G39" s="145"/>
      <c r="H39" s="145"/>
      <c r="I39" s="145"/>
      <c r="J39" s="145"/>
      <c r="K39" s="145"/>
      <c r="L39" s="146"/>
      <c r="M39" s="104"/>
      <c r="N39" s="4"/>
    </row>
    <row r="40" spans="2:14" ht="61.8" customHeight="1" x14ac:dyDescent="0.3">
      <c r="B40" s="104"/>
      <c r="C40" s="147"/>
      <c r="D40" s="148"/>
      <c r="E40" s="148"/>
      <c r="F40" s="148"/>
      <c r="G40" s="148"/>
      <c r="H40" s="148"/>
      <c r="I40" s="148"/>
      <c r="J40" s="148"/>
      <c r="K40" s="148"/>
      <c r="L40" s="149"/>
      <c r="M40" s="104"/>
    </row>
    <row r="41" spans="2:14" ht="13.2" customHeight="1" x14ac:dyDescent="0.3">
      <c r="B41" s="104"/>
      <c r="C41" s="127"/>
      <c r="D41" s="128"/>
      <c r="E41" s="128"/>
      <c r="F41" s="128"/>
      <c r="G41" s="128"/>
      <c r="H41" s="128"/>
      <c r="I41" s="128"/>
      <c r="J41" s="128"/>
      <c r="K41" s="128"/>
      <c r="L41" s="129"/>
      <c r="M41" s="104"/>
    </row>
    <row r="42" spans="2:14" ht="15.6" x14ac:dyDescent="0.3">
      <c r="B42" s="104"/>
      <c r="C42" s="150" t="s">
        <v>113</v>
      </c>
      <c r="D42" s="151"/>
      <c r="E42" s="151"/>
      <c r="F42" s="151"/>
      <c r="G42" s="151"/>
      <c r="H42" s="151"/>
      <c r="I42" s="151"/>
      <c r="J42" s="151"/>
      <c r="K42" s="151"/>
      <c r="L42" s="152"/>
      <c r="M42" s="104"/>
    </row>
    <row r="43" spans="2:14" x14ac:dyDescent="0.3">
      <c r="B43" s="104"/>
      <c r="C43" s="97"/>
      <c r="D43" s="98" t="s">
        <v>15</v>
      </c>
      <c r="E43" s="131" t="s">
        <v>114</v>
      </c>
      <c r="F43" s="131"/>
      <c r="G43" s="131"/>
      <c r="H43" s="131"/>
      <c r="I43" s="131"/>
      <c r="J43" s="131"/>
      <c r="K43" s="131"/>
      <c r="L43" s="132"/>
      <c r="M43" s="104"/>
    </row>
    <row r="44" spans="2:14" ht="15" thickBot="1" x14ac:dyDescent="0.35">
      <c r="B44" s="104"/>
      <c r="C44" s="99"/>
      <c r="D44" s="100" t="s">
        <v>16</v>
      </c>
      <c r="E44" s="133"/>
      <c r="F44" s="133"/>
      <c r="G44" s="133"/>
      <c r="H44" s="133"/>
      <c r="I44" s="133"/>
      <c r="J44" s="133"/>
      <c r="K44" s="133"/>
      <c r="L44" s="134"/>
      <c r="M44" s="104"/>
    </row>
    <row r="45" spans="2:14" ht="9" customHeight="1" x14ac:dyDescent="0.3">
      <c r="B45" s="104"/>
      <c r="C45" s="136"/>
      <c r="D45" s="136"/>
      <c r="E45" s="136"/>
      <c r="F45" s="136"/>
      <c r="G45" s="136"/>
      <c r="H45" s="136"/>
      <c r="I45" s="136"/>
      <c r="J45" s="136"/>
      <c r="K45" s="136"/>
      <c r="L45" s="136"/>
      <c r="M45" s="104"/>
    </row>
    <row r="46" spans="2:14" x14ac:dyDescent="0.3">
      <c r="B46" s="104"/>
      <c r="C46" s="135"/>
      <c r="D46" s="135"/>
      <c r="E46" s="135"/>
      <c r="F46" s="135"/>
      <c r="G46" s="135"/>
      <c r="H46" s="135"/>
      <c r="I46" s="135"/>
      <c r="J46" s="135"/>
      <c r="K46" s="135"/>
      <c r="L46" s="135"/>
      <c r="M46" s="104"/>
    </row>
    <row r="47" spans="2:14" ht="11.4" customHeight="1" x14ac:dyDescent="0.3"/>
  </sheetData>
  <sheetProtection algorithmName="SHA-512" hashValue="rDp9MZeI9sKKQasAlqGrMnYKa54PUYDTN6+nWTRvUWiSuRtoqhjFy+WAULB5sPHOOhzfaX1hM5l8DJOYCf0UEw==" saltValue="Js3h5fhA0d3Z6lZ2riLH8A==" spinCount="100000" sheet="1" objects="1" scenarios="1"/>
  <mergeCells count="21">
    <mergeCell ref="C45:L45"/>
    <mergeCell ref="C24:L36"/>
    <mergeCell ref="C38:L38"/>
    <mergeCell ref="C39:L40"/>
    <mergeCell ref="C42:L42"/>
    <mergeCell ref="C10:L10"/>
    <mergeCell ref="B2:M2"/>
    <mergeCell ref="B3:M3"/>
    <mergeCell ref="C5:L8"/>
    <mergeCell ref="C4:L4"/>
    <mergeCell ref="M4:M46"/>
    <mergeCell ref="B4:B46"/>
    <mergeCell ref="C9:L9"/>
    <mergeCell ref="C11:L12"/>
    <mergeCell ref="C13:L17"/>
    <mergeCell ref="C18:L18"/>
    <mergeCell ref="C19:L23"/>
    <mergeCell ref="C41:L41"/>
    <mergeCell ref="C37:L37"/>
    <mergeCell ref="E43:L44"/>
    <mergeCell ref="C46:L46"/>
  </mergeCells>
  <pageMargins left="0.70000000000000007" right="0.70000000000000007" top="0.75" bottom="0.75" header="0.30000000000000004" footer="0.30000000000000004"/>
  <pageSetup paperSize="9" scale="82" fitToWidth="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B1:O52"/>
  <sheetViews>
    <sheetView view="pageBreakPreview" zoomScaleNormal="100" zoomScaleSheetLayoutView="100" workbookViewId="0">
      <selection activeCell="C4" sqref="C4:N4"/>
    </sheetView>
  </sheetViews>
  <sheetFormatPr defaultRowHeight="14.4" x14ac:dyDescent="0.3"/>
  <cols>
    <col min="1" max="2" width="2.77734375" customWidth="1"/>
    <col min="3" max="3" width="3.77734375" customWidth="1"/>
    <col min="4" max="4" width="19.33203125" customWidth="1"/>
    <col min="5" max="5" width="16.5546875" customWidth="1"/>
    <col min="6" max="6" width="16.88671875" bestFit="1" customWidth="1"/>
    <col min="7" max="8" width="17.33203125" customWidth="1"/>
    <col min="9" max="9" width="16.5546875" customWidth="1"/>
    <col min="10" max="10" width="16.88671875" bestFit="1" customWidth="1"/>
    <col min="11" max="14" width="7.77734375" customWidth="1"/>
    <col min="15" max="15" width="3" customWidth="1"/>
    <col min="16" max="16" width="12.88671875" bestFit="1" customWidth="1"/>
  </cols>
  <sheetData>
    <row r="1" spans="2:15" ht="10.199999999999999" customHeight="1" thickBot="1" x14ac:dyDescent="0.35"/>
    <row r="2" spans="2:15" ht="16.2" thickBot="1" x14ac:dyDescent="0.35">
      <c r="B2" s="159" t="s">
        <v>0</v>
      </c>
      <c r="C2" s="160"/>
      <c r="D2" s="160"/>
      <c r="E2" s="160"/>
      <c r="F2" s="160"/>
      <c r="G2" s="160"/>
      <c r="H2" s="160"/>
      <c r="I2" s="160"/>
      <c r="J2" s="160"/>
      <c r="K2" s="160"/>
      <c r="L2" s="160"/>
      <c r="M2" s="160"/>
      <c r="N2" s="160"/>
      <c r="O2" s="161"/>
    </row>
    <row r="3" spans="2:15" ht="10.199999999999999" customHeight="1" x14ac:dyDescent="0.3">
      <c r="B3" s="162"/>
      <c r="C3" s="163"/>
      <c r="D3" s="163"/>
      <c r="E3" s="163"/>
      <c r="F3" s="163"/>
      <c r="G3" s="163"/>
      <c r="H3" s="163"/>
      <c r="I3" s="163"/>
      <c r="J3" s="163"/>
      <c r="K3" s="163"/>
      <c r="L3" s="163"/>
      <c r="M3" s="163"/>
      <c r="N3" s="163"/>
      <c r="O3" s="164"/>
    </row>
    <row r="4" spans="2:15" ht="14.4" customHeight="1" thickBot="1" x14ac:dyDescent="0.35">
      <c r="B4" s="157"/>
      <c r="C4" s="158" t="s">
        <v>55</v>
      </c>
      <c r="D4" s="158"/>
      <c r="E4" s="158"/>
      <c r="F4" s="158"/>
      <c r="G4" s="158"/>
      <c r="H4" s="158"/>
      <c r="I4" s="158"/>
      <c r="J4" s="158"/>
      <c r="K4" s="158"/>
      <c r="L4" s="158"/>
      <c r="M4" s="158"/>
      <c r="N4" s="158"/>
      <c r="O4" s="156"/>
    </row>
    <row r="5" spans="2:15" ht="29.4" customHeight="1" x14ac:dyDescent="0.3">
      <c r="B5" s="157"/>
      <c r="C5" s="27" t="s">
        <v>71</v>
      </c>
      <c r="D5" s="23" t="s">
        <v>1</v>
      </c>
      <c r="E5" s="23" t="s">
        <v>59</v>
      </c>
      <c r="F5" s="23" t="s">
        <v>60</v>
      </c>
      <c r="G5" s="23" t="s">
        <v>61</v>
      </c>
      <c r="H5" s="23" t="s">
        <v>73</v>
      </c>
      <c r="I5" s="23" t="s">
        <v>2</v>
      </c>
      <c r="J5" s="23" t="s">
        <v>3</v>
      </c>
      <c r="K5" s="24" t="s">
        <v>4</v>
      </c>
      <c r="L5" s="24" t="s">
        <v>5</v>
      </c>
      <c r="M5" s="25" t="s">
        <v>6</v>
      </c>
      <c r="N5" s="26" t="s">
        <v>7</v>
      </c>
      <c r="O5" s="156"/>
    </row>
    <row r="6" spans="2:15" ht="14.4" customHeight="1" x14ac:dyDescent="0.3">
      <c r="B6" s="157"/>
      <c r="C6" s="28">
        <v>1</v>
      </c>
      <c r="D6" s="19" t="s">
        <v>70</v>
      </c>
      <c r="E6" s="20" t="s">
        <v>8</v>
      </c>
      <c r="F6" s="21" t="s">
        <v>56</v>
      </c>
      <c r="G6" s="20">
        <v>0.5</v>
      </c>
      <c r="H6" s="96"/>
      <c r="I6" s="20">
        <v>11</v>
      </c>
      <c r="J6" s="20">
        <v>12</v>
      </c>
      <c r="K6" s="20">
        <v>60</v>
      </c>
      <c r="L6" s="20">
        <v>20</v>
      </c>
      <c r="M6" s="20">
        <v>350</v>
      </c>
      <c r="N6" s="22">
        <v>100</v>
      </c>
      <c r="O6" s="156"/>
    </row>
    <row r="7" spans="2:15" x14ac:dyDescent="0.3">
      <c r="B7" s="157"/>
      <c r="C7" s="28">
        <v>2</v>
      </c>
      <c r="D7" s="91" t="s">
        <v>106</v>
      </c>
      <c r="E7" s="20" t="s">
        <v>8</v>
      </c>
      <c r="F7" s="21" t="s">
        <v>56</v>
      </c>
      <c r="G7" s="20">
        <v>0.5</v>
      </c>
      <c r="H7" s="96"/>
      <c r="I7" s="20">
        <v>10.5</v>
      </c>
      <c r="J7" s="20">
        <v>11</v>
      </c>
      <c r="K7" s="20">
        <v>40</v>
      </c>
      <c r="L7" s="20">
        <v>10</v>
      </c>
      <c r="M7" s="20">
        <v>300</v>
      </c>
      <c r="N7" s="22">
        <v>50</v>
      </c>
      <c r="O7" s="156"/>
    </row>
    <row r="8" spans="2:15" x14ac:dyDescent="0.3">
      <c r="B8" s="157"/>
      <c r="C8" s="28">
        <v>4</v>
      </c>
      <c r="D8" s="19" t="s">
        <v>62</v>
      </c>
      <c r="E8" s="20">
        <v>1</v>
      </c>
      <c r="F8" s="21" t="s">
        <v>57</v>
      </c>
      <c r="G8" s="20">
        <v>0.5</v>
      </c>
      <c r="H8" s="96"/>
      <c r="I8" s="20">
        <v>13</v>
      </c>
      <c r="J8" s="20">
        <v>14</v>
      </c>
      <c r="K8" s="20">
        <v>50</v>
      </c>
      <c r="L8" s="20">
        <v>340</v>
      </c>
      <c r="M8" s="20">
        <v>30</v>
      </c>
      <c r="N8" s="22">
        <v>270</v>
      </c>
      <c r="O8" s="156"/>
    </row>
    <row r="9" spans="2:15" x14ac:dyDescent="0.3">
      <c r="B9" s="157"/>
      <c r="C9" s="28">
        <v>5</v>
      </c>
      <c r="D9" s="19" t="s">
        <v>63</v>
      </c>
      <c r="E9" s="21" t="s">
        <v>72</v>
      </c>
      <c r="F9" s="21" t="s">
        <v>57</v>
      </c>
      <c r="G9" s="20">
        <v>0.5</v>
      </c>
      <c r="H9" s="96"/>
      <c r="I9" s="20">
        <v>16</v>
      </c>
      <c r="J9" s="20">
        <v>17</v>
      </c>
      <c r="K9" s="20">
        <v>59</v>
      </c>
      <c r="L9" s="20">
        <v>240</v>
      </c>
      <c r="M9" s="20">
        <v>12</v>
      </c>
      <c r="N9" s="22">
        <v>110</v>
      </c>
      <c r="O9" s="156"/>
    </row>
    <row r="10" spans="2:15" x14ac:dyDescent="0.3">
      <c r="B10" s="157"/>
      <c r="C10" s="28">
        <v>6</v>
      </c>
      <c r="D10" s="19" t="s">
        <v>64</v>
      </c>
      <c r="E10" s="20"/>
      <c r="F10" s="21" t="s">
        <v>57</v>
      </c>
      <c r="G10" s="20">
        <v>1</v>
      </c>
      <c r="H10" s="96"/>
      <c r="I10" s="20">
        <v>13</v>
      </c>
      <c r="J10" s="20">
        <v>13</v>
      </c>
      <c r="K10" s="20">
        <v>30</v>
      </c>
      <c r="L10" s="20">
        <v>120</v>
      </c>
      <c r="M10" s="20">
        <v>7.5</v>
      </c>
      <c r="N10" s="22">
        <v>30</v>
      </c>
      <c r="O10" s="156"/>
    </row>
    <row r="11" spans="2:15" x14ac:dyDescent="0.3">
      <c r="B11" s="157"/>
      <c r="C11" s="28">
        <v>7</v>
      </c>
      <c r="D11" s="19" t="s">
        <v>65</v>
      </c>
      <c r="E11" s="20"/>
      <c r="F11" s="21" t="s">
        <v>57</v>
      </c>
      <c r="G11" s="20">
        <v>1</v>
      </c>
      <c r="H11" s="96"/>
      <c r="I11" s="20">
        <v>18</v>
      </c>
      <c r="J11" s="20">
        <v>18</v>
      </c>
      <c r="K11" s="20">
        <v>69</v>
      </c>
      <c r="L11" s="20">
        <v>380</v>
      </c>
      <c r="M11" s="20">
        <v>16</v>
      </c>
      <c r="N11" s="22">
        <v>230</v>
      </c>
      <c r="O11" s="156"/>
    </row>
    <row r="12" spans="2:15" x14ac:dyDescent="0.3">
      <c r="B12" s="157"/>
      <c r="C12" s="28">
        <v>8</v>
      </c>
      <c r="D12" s="19" t="s">
        <v>66</v>
      </c>
      <c r="E12" s="20"/>
      <c r="F12" s="21" t="s">
        <v>57</v>
      </c>
      <c r="G12" s="20">
        <v>1</v>
      </c>
      <c r="H12" s="96"/>
      <c r="I12" s="20">
        <v>19</v>
      </c>
      <c r="J12" s="20">
        <v>19</v>
      </c>
      <c r="K12" s="20">
        <v>100</v>
      </c>
      <c r="L12" s="20">
        <v>500</v>
      </c>
      <c r="M12" s="20">
        <v>100</v>
      </c>
      <c r="N12" s="22">
        <v>1200</v>
      </c>
      <c r="O12" s="156"/>
    </row>
    <row r="13" spans="2:15" x14ac:dyDescent="0.3">
      <c r="B13" s="157"/>
      <c r="C13" s="28">
        <v>9</v>
      </c>
      <c r="D13" s="19" t="s">
        <v>67</v>
      </c>
      <c r="E13" s="21" t="s">
        <v>10</v>
      </c>
      <c r="F13" s="21" t="s">
        <v>58</v>
      </c>
      <c r="G13" s="20">
        <v>2</v>
      </c>
      <c r="H13" s="96"/>
      <c r="I13" s="20">
        <v>18</v>
      </c>
      <c r="J13" s="20">
        <v>20</v>
      </c>
      <c r="K13" s="20">
        <v>300</v>
      </c>
      <c r="L13" s="20">
        <f>1*10^9</f>
        <v>1000000000</v>
      </c>
      <c r="M13" s="20">
        <v>550</v>
      </c>
      <c r="N13" s="20">
        <f>1*10^9</f>
        <v>1000000000</v>
      </c>
      <c r="O13" s="156"/>
    </row>
    <row r="14" spans="2:15" x14ac:dyDescent="0.3">
      <c r="B14" s="157"/>
      <c r="C14" s="28">
        <v>10</v>
      </c>
      <c r="D14" s="19" t="s">
        <v>68</v>
      </c>
      <c r="E14" s="21" t="s">
        <v>12</v>
      </c>
      <c r="F14" s="21" t="s">
        <v>58</v>
      </c>
      <c r="G14" s="20">
        <v>2</v>
      </c>
      <c r="H14" s="96"/>
      <c r="I14" s="20">
        <v>18</v>
      </c>
      <c r="J14" s="20">
        <v>20</v>
      </c>
      <c r="K14" s="20">
        <v>400</v>
      </c>
      <c r="L14" s="20">
        <f>1*10^9</f>
        <v>1000000000</v>
      </c>
      <c r="M14" s="20">
        <v>300</v>
      </c>
      <c r="N14" s="20">
        <f>1*10^9</f>
        <v>1000000000</v>
      </c>
      <c r="O14" s="156"/>
    </row>
    <row r="15" spans="2:15" x14ac:dyDescent="0.3">
      <c r="B15" s="157"/>
      <c r="C15" s="28">
        <v>11</v>
      </c>
      <c r="D15" s="19" t="s">
        <v>9</v>
      </c>
      <c r="E15" s="21" t="s">
        <v>13</v>
      </c>
      <c r="F15" s="21" t="s">
        <v>58</v>
      </c>
      <c r="G15" s="20">
        <v>3</v>
      </c>
      <c r="H15" s="96"/>
      <c r="I15" s="20">
        <v>17</v>
      </c>
      <c r="J15" s="20">
        <v>19</v>
      </c>
      <c r="K15" s="20">
        <v>600</v>
      </c>
      <c r="L15" s="20">
        <f>1*10^9</f>
        <v>1000000000</v>
      </c>
      <c r="M15" s="20">
        <v>200</v>
      </c>
      <c r="N15" s="20">
        <f>1*10^9</f>
        <v>1000000000</v>
      </c>
      <c r="O15" s="156"/>
    </row>
    <row r="16" spans="2:15" x14ac:dyDescent="0.3">
      <c r="B16" s="157"/>
      <c r="C16" s="28">
        <v>12</v>
      </c>
      <c r="D16" s="19" t="s">
        <v>69</v>
      </c>
      <c r="E16" s="20">
        <v>30</v>
      </c>
      <c r="F16" s="20" t="s">
        <v>11</v>
      </c>
      <c r="G16" s="20">
        <v>1.5</v>
      </c>
      <c r="H16" s="96"/>
      <c r="I16" s="20">
        <v>17</v>
      </c>
      <c r="J16" s="20">
        <v>19</v>
      </c>
      <c r="K16" s="20">
        <v>1800</v>
      </c>
      <c r="L16" s="20">
        <f>1*10^9</f>
        <v>1000000000</v>
      </c>
      <c r="M16" s="20">
        <v>600</v>
      </c>
      <c r="N16" s="20">
        <f>1*10^9</f>
        <v>1000000000</v>
      </c>
      <c r="O16" s="156"/>
    </row>
    <row r="17" spans="2:15" x14ac:dyDescent="0.3">
      <c r="B17" s="157"/>
      <c r="C17" s="28">
        <v>13</v>
      </c>
      <c r="D17" s="58" t="s">
        <v>86</v>
      </c>
      <c r="E17" s="49"/>
      <c r="F17" s="49"/>
      <c r="G17" s="49"/>
      <c r="H17" s="49"/>
      <c r="I17" s="49"/>
      <c r="J17" s="49"/>
      <c r="K17" s="49"/>
      <c r="L17" s="49"/>
      <c r="M17" s="50"/>
      <c r="N17" s="51"/>
      <c r="O17" s="156"/>
    </row>
    <row r="18" spans="2:15" x14ac:dyDescent="0.3">
      <c r="B18" s="157"/>
      <c r="C18" s="28">
        <v>14</v>
      </c>
      <c r="D18" s="58" t="s">
        <v>87</v>
      </c>
      <c r="E18" s="49"/>
      <c r="F18" s="49"/>
      <c r="G18" s="49"/>
      <c r="H18" s="49"/>
      <c r="I18" s="49"/>
      <c r="J18" s="49"/>
      <c r="K18" s="49"/>
      <c r="L18" s="49"/>
      <c r="M18" s="50"/>
      <c r="N18" s="51"/>
      <c r="O18" s="156"/>
    </row>
    <row r="19" spans="2:15" x14ac:dyDescent="0.3">
      <c r="B19" s="157"/>
      <c r="C19" s="28">
        <v>15</v>
      </c>
      <c r="D19" s="58" t="s">
        <v>89</v>
      </c>
      <c r="E19" s="49"/>
      <c r="F19" s="49"/>
      <c r="G19" s="49"/>
      <c r="H19" s="49"/>
      <c r="I19" s="49"/>
      <c r="J19" s="49"/>
      <c r="K19" s="49"/>
      <c r="L19" s="49"/>
      <c r="M19" s="50"/>
      <c r="N19" s="51"/>
      <c r="O19" s="156"/>
    </row>
    <row r="20" spans="2:15" x14ac:dyDescent="0.3">
      <c r="B20" s="157"/>
      <c r="C20" s="30">
        <v>16</v>
      </c>
      <c r="D20" s="58" t="s">
        <v>90</v>
      </c>
      <c r="E20" s="52"/>
      <c r="F20" s="52"/>
      <c r="G20" s="52"/>
      <c r="H20" s="52"/>
      <c r="I20" s="52"/>
      <c r="J20" s="52"/>
      <c r="K20" s="52"/>
      <c r="L20" s="52"/>
      <c r="M20" s="53"/>
      <c r="N20" s="54"/>
      <c r="O20" s="156"/>
    </row>
    <row r="21" spans="2:15" x14ac:dyDescent="0.3">
      <c r="B21" s="157"/>
      <c r="C21" s="30">
        <v>17</v>
      </c>
      <c r="D21" s="58" t="s">
        <v>91</v>
      </c>
      <c r="E21" s="52"/>
      <c r="F21" s="52"/>
      <c r="G21" s="52"/>
      <c r="H21" s="52"/>
      <c r="I21" s="52"/>
      <c r="J21" s="52"/>
      <c r="K21" s="52"/>
      <c r="L21" s="52"/>
      <c r="M21" s="53"/>
      <c r="N21" s="54"/>
      <c r="O21" s="156"/>
    </row>
    <row r="22" spans="2:15" x14ac:dyDescent="0.3">
      <c r="B22" s="157"/>
      <c r="C22" s="30">
        <v>18</v>
      </c>
      <c r="D22" s="58" t="s">
        <v>92</v>
      </c>
      <c r="E22" s="52"/>
      <c r="F22" s="52"/>
      <c r="G22" s="52"/>
      <c r="H22" s="52"/>
      <c r="I22" s="52"/>
      <c r="J22" s="52"/>
      <c r="K22" s="52"/>
      <c r="L22" s="52"/>
      <c r="M22" s="53"/>
      <c r="N22" s="54"/>
      <c r="O22" s="156"/>
    </row>
    <row r="23" spans="2:15" x14ac:dyDescent="0.3">
      <c r="B23" s="157"/>
      <c r="C23" s="30">
        <v>19</v>
      </c>
      <c r="D23" s="58" t="s">
        <v>93</v>
      </c>
      <c r="E23" s="52"/>
      <c r="F23" s="52"/>
      <c r="G23" s="52"/>
      <c r="H23" s="52"/>
      <c r="I23" s="52"/>
      <c r="J23" s="52"/>
      <c r="K23" s="52"/>
      <c r="L23" s="52"/>
      <c r="M23" s="53"/>
      <c r="N23" s="54"/>
      <c r="O23" s="156"/>
    </row>
    <row r="24" spans="2:15" ht="15" thickBot="1" x14ac:dyDescent="0.35">
      <c r="B24" s="157"/>
      <c r="C24" s="29">
        <v>20</v>
      </c>
      <c r="D24" s="59" t="s">
        <v>88</v>
      </c>
      <c r="E24" s="55"/>
      <c r="F24" s="55"/>
      <c r="G24" s="55"/>
      <c r="H24" s="55"/>
      <c r="I24" s="55"/>
      <c r="J24" s="55"/>
      <c r="K24" s="55"/>
      <c r="L24" s="55"/>
      <c r="M24" s="56"/>
      <c r="N24" s="57"/>
      <c r="O24" s="156"/>
    </row>
    <row r="25" spans="2:15" ht="11.4" customHeight="1" thickBot="1" x14ac:dyDescent="0.35">
      <c r="B25" s="153"/>
      <c r="C25" s="154"/>
      <c r="D25" s="154"/>
      <c r="E25" s="154"/>
      <c r="F25" s="154"/>
      <c r="G25" s="154"/>
      <c r="H25" s="154"/>
      <c r="I25" s="154"/>
      <c r="J25" s="154"/>
      <c r="K25" s="154"/>
      <c r="L25" s="154"/>
      <c r="M25" s="154"/>
      <c r="N25" s="154"/>
      <c r="O25" s="155"/>
    </row>
    <row r="26" spans="2:15" x14ac:dyDescent="0.3">
      <c r="D26" s="17"/>
      <c r="E26" s="9"/>
      <c r="F26" s="9"/>
      <c r="G26" s="15"/>
      <c r="H26" s="15"/>
      <c r="I26" s="15"/>
      <c r="J26" s="15"/>
    </row>
    <row r="27" spans="2:15" x14ac:dyDescent="0.3">
      <c r="D27" s="9"/>
      <c r="E27" s="9"/>
      <c r="F27" s="9"/>
      <c r="G27" s="15"/>
      <c r="H27" s="15"/>
      <c r="I27" s="15"/>
      <c r="J27" s="15"/>
    </row>
    <row r="28" spans="2:15" x14ac:dyDescent="0.3">
      <c r="D28" s="15"/>
      <c r="E28" s="15"/>
      <c r="F28" s="9"/>
      <c r="G28" s="15"/>
      <c r="H28" s="15"/>
      <c r="I28" s="15"/>
      <c r="J28" s="15"/>
    </row>
    <row r="29" spans="2:15" x14ac:dyDescent="0.3">
      <c r="D29" s="17"/>
      <c r="E29" s="9"/>
      <c r="F29" s="9"/>
      <c r="G29" s="15"/>
      <c r="H29" s="15"/>
      <c r="I29" s="15"/>
      <c r="J29" s="15"/>
    </row>
    <row r="30" spans="2:15" x14ac:dyDescent="0.3">
      <c r="D30" s="17"/>
      <c r="E30" s="9"/>
      <c r="F30" s="16"/>
      <c r="G30" s="15"/>
      <c r="H30" s="15"/>
      <c r="I30" s="15"/>
      <c r="J30" s="15"/>
    </row>
    <row r="31" spans="2:15" x14ac:dyDescent="0.3">
      <c r="D31" s="15"/>
      <c r="E31" s="15"/>
      <c r="F31" s="9"/>
      <c r="G31" s="15"/>
      <c r="H31" s="15"/>
      <c r="I31" s="15"/>
      <c r="J31" s="15"/>
    </row>
    <row r="32" spans="2:15" x14ac:dyDescent="0.3">
      <c r="D32" s="17"/>
      <c r="E32" s="9"/>
      <c r="F32" s="9"/>
      <c r="G32" s="15"/>
      <c r="H32" s="15"/>
      <c r="I32" s="15"/>
      <c r="J32" s="15"/>
    </row>
    <row r="33" spans="4:10" x14ac:dyDescent="0.3">
      <c r="D33" s="9"/>
      <c r="E33" s="9"/>
      <c r="F33" s="9"/>
      <c r="G33" s="15"/>
      <c r="H33" s="15"/>
      <c r="I33" s="15"/>
      <c r="J33" s="15"/>
    </row>
    <row r="34" spans="4:10" x14ac:dyDescent="0.3">
      <c r="D34" s="15"/>
      <c r="E34" s="15"/>
      <c r="F34" s="9"/>
      <c r="G34" s="15"/>
      <c r="H34" s="15"/>
      <c r="I34" s="15"/>
      <c r="J34" s="15"/>
    </row>
    <row r="35" spans="4:10" x14ac:dyDescent="0.3">
      <c r="D35" s="17"/>
      <c r="E35" s="9"/>
      <c r="F35" s="9"/>
      <c r="G35" s="15"/>
      <c r="H35" s="15"/>
      <c r="I35" s="15"/>
      <c r="J35" s="15"/>
    </row>
    <row r="36" spans="4:10" x14ac:dyDescent="0.3">
      <c r="D36" s="17"/>
      <c r="E36" s="9"/>
      <c r="F36" s="16"/>
      <c r="G36" s="15"/>
      <c r="H36" s="15"/>
      <c r="I36" s="15"/>
      <c r="J36" s="15"/>
    </row>
    <row r="37" spans="4:10" x14ac:dyDescent="0.3">
      <c r="D37" s="15"/>
      <c r="E37" s="15"/>
      <c r="F37" s="9"/>
      <c r="G37" s="15"/>
      <c r="H37" s="15"/>
      <c r="I37" s="15"/>
      <c r="J37" s="15"/>
    </row>
    <row r="38" spans="4:10" x14ac:dyDescent="0.3">
      <c r="D38" s="17"/>
      <c r="E38" s="9"/>
      <c r="F38" s="9"/>
      <c r="G38" s="15"/>
      <c r="H38" s="15"/>
      <c r="I38" s="15"/>
      <c r="J38" s="15"/>
    </row>
    <row r="39" spans="4:10" x14ac:dyDescent="0.3">
      <c r="D39" s="9"/>
      <c r="E39" s="9"/>
      <c r="F39" s="9"/>
      <c r="G39" s="15"/>
      <c r="H39" s="15"/>
      <c r="I39" s="15"/>
      <c r="J39" s="15"/>
    </row>
    <row r="40" spans="4:10" x14ac:dyDescent="0.3">
      <c r="D40" s="15"/>
      <c r="E40" s="15"/>
      <c r="F40" s="9"/>
      <c r="G40" s="15"/>
      <c r="H40" s="15"/>
      <c r="I40" s="15"/>
      <c r="J40" s="15"/>
    </row>
    <row r="41" spans="4:10" x14ac:dyDescent="0.3">
      <c r="D41" s="17"/>
      <c r="E41" s="9"/>
      <c r="F41" s="9"/>
      <c r="G41" s="15"/>
      <c r="H41" s="15"/>
      <c r="I41" s="15"/>
      <c r="J41" s="15"/>
    </row>
    <row r="42" spans="4:10" x14ac:dyDescent="0.3">
      <c r="D42" s="17"/>
      <c r="E42" s="9"/>
      <c r="F42" s="9"/>
      <c r="G42" s="15"/>
      <c r="H42" s="15"/>
      <c r="I42" s="15"/>
      <c r="J42" s="15"/>
    </row>
    <row r="43" spans="4:10" x14ac:dyDescent="0.3">
      <c r="D43" s="17"/>
      <c r="E43" s="9"/>
      <c r="F43" s="9"/>
      <c r="G43" s="15"/>
      <c r="H43" s="15"/>
      <c r="I43" s="15"/>
      <c r="J43" s="15"/>
    </row>
    <row r="44" spans="4:10" x14ac:dyDescent="0.3">
      <c r="D44" s="17"/>
      <c r="E44" s="9"/>
      <c r="F44" s="9"/>
      <c r="G44" s="15"/>
      <c r="H44" s="15"/>
      <c r="I44" s="15"/>
      <c r="J44" s="15"/>
    </row>
    <row r="45" spans="4:10" x14ac:dyDescent="0.3">
      <c r="D45" s="17"/>
      <c r="E45" s="18"/>
      <c r="F45" s="9"/>
      <c r="G45" s="15"/>
      <c r="H45" s="15"/>
      <c r="I45" s="15"/>
      <c r="J45" s="15"/>
    </row>
    <row r="46" spans="4:10" x14ac:dyDescent="0.3">
      <c r="D46" s="9"/>
      <c r="E46" s="9"/>
      <c r="F46" s="9"/>
      <c r="G46" s="15"/>
      <c r="H46" s="15"/>
      <c r="I46" s="15"/>
      <c r="J46" s="15"/>
    </row>
    <row r="47" spans="4:10" x14ac:dyDescent="0.3">
      <c r="D47" s="15"/>
      <c r="E47" s="15"/>
      <c r="F47" s="9"/>
      <c r="G47" s="15"/>
      <c r="H47" s="15"/>
      <c r="I47" s="15"/>
      <c r="J47" s="15"/>
    </row>
    <row r="48" spans="4:10" x14ac:dyDescent="0.3">
      <c r="D48" s="17"/>
      <c r="E48" s="9"/>
      <c r="F48" s="9"/>
      <c r="G48" s="15"/>
      <c r="H48" s="15"/>
      <c r="I48" s="15"/>
      <c r="J48" s="15"/>
    </row>
    <row r="49" spans="4:10" x14ac:dyDescent="0.3">
      <c r="D49" s="17"/>
      <c r="E49" s="9"/>
      <c r="F49" s="9"/>
      <c r="G49" s="15"/>
      <c r="H49" s="15"/>
      <c r="I49" s="15"/>
      <c r="J49" s="15"/>
    </row>
    <row r="50" spans="4:10" x14ac:dyDescent="0.3">
      <c r="D50" s="17"/>
      <c r="E50" s="9"/>
      <c r="F50" s="9"/>
      <c r="G50" s="15"/>
      <c r="H50" s="15"/>
      <c r="I50" s="15"/>
      <c r="J50" s="15"/>
    </row>
    <row r="51" spans="4:10" x14ac:dyDescent="0.3">
      <c r="D51" s="17"/>
      <c r="E51" s="9"/>
      <c r="F51" s="9"/>
      <c r="G51" s="15"/>
      <c r="H51" s="15"/>
      <c r="I51" s="15"/>
      <c r="J51" s="15"/>
    </row>
    <row r="52" spans="4:10" x14ac:dyDescent="0.3">
      <c r="D52" s="17"/>
      <c r="E52" s="18"/>
      <c r="F52" s="9"/>
      <c r="G52" s="15"/>
      <c r="H52" s="15"/>
      <c r="I52" s="15"/>
      <c r="J52" s="15"/>
    </row>
  </sheetData>
  <sheetProtection algorithmName="SHA-512" hashValue="wmoGAQy6vKRgBuV2+m7tJ3cj6TTgP0jJnJ2MnAIHLbtlrc1ReD0qNfeYFTr/0od5IH8Bc7AKxeJZ2buJ+SvxeQ==" saltValue="x0Wq7hPPTeE+xaY0+uqBHA==" spinCount="100000" sheet="1" objects="1" scenarios="1"/>
  <mergeCells count="6">
    <mergeCell ref="B25:O25"/>
    <mergeCell ref="O4:O24"/>
    <mergeCell ref="B4:B24"/>
    <mergeCell ref="C4:N4"/>
    <mergeCell ref="B2:O2"/>
    <mergeCell ref="B3:O3"/>
  </mergeCells>
  <pageMargins left="0.70000000000000007" right="0.70000000000000007" top="0.75" bottom="0.75" header="0.30000000000000004" footer="0.30000000000000004"/>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B1:O86"/>
  <sheetViews>
    <sheetView view="pageBreakPreview" topLeftCell="A73" zoomScale="98" zoomScaleNormal="100" zoomScaleSheetLayoutView="98" workbookViewId="0">
      <selection activeCell="O17" sqref="O17"/>
    </sheetView>
  </sheetViews>
  <sheetFormatPr defaultRowHeight="14.4" x14ac:dyDescent="0.3"/>
  <cols>
    <col min="1" max="1" width="4.5546875" customWidth="1"/>
    <col min="2" max="2" width="2.44140625" customWidth="1"/>
    <col min="3" max="3" width="18.77734375" customWidth="1"/>
    <col min="4" max="4" width="16" customWidth="1"/>
    <col min="5" max="5" width="9" customWidth="1"/>
    <col min="6" max="6" width="9.88671875" customWidth="1"/>
    <col min="7" max="7" width="14.88671875" customWidth="1"/>
    <col min="8" max="9" width="10.77734375" customWidth="1"/>
    <col min="10" max="13" width="5.88671875" customWidth="1"/>
    <col min="14" max="14" width="3" customWidth="1"/>
    <col min="15" max="15" width="5.109375" customWidth="1"/>
    <col min="16" max="16" width="8.88671875" customWidth="1"/>
  </cols>
  <sheetData>
    <row r="1" spans="2:15" ht="10.199999999999999" customHeight="1" thickBot="1" x14ac:dyDescent="0.35"/>
    <row r="2" spans="2:15" ht="21.6" customHeight="1" thickBot="1" x14ac:dyDescent="0.4">
      <c r="B2" s="181" t="s">
        <v>14</v>
      </c>
      <c r="C2" s="181"/>
      <c r="D2" s="181"/>
      <c r="E2" s="181"/>
      <c r="F2" s="181"/>
      <c r="G2" s="181"/>
      <c r="H2" s="181"/>
      <c r="I2" s="181"/>
      <c r="J2" s="181"/>
      <c r="K2" s="181"/>
      <c r="L2" s="181"/>
      <c r="M2" s="181"/>
      <c r="N2" s="181"/>
    </row>
    <row r="3" spans="2:15" ht="11.4" customHeight="1" x14ac:dyDescent="0.35">
      <c r="B3" s="190"/>
      <c r="C3" s="191"/>
      <c r="D3" s="191"/>
      <c r="E3" s="191"/>
      <c r="F3" s="191"/>
      <c r="G3" s="191"/>
      <c r="H3" s="191"/>
      <c r="I3" s="191"/>
      <c r="J3" s="191"/>
      <c r="K3" s="191"/>
      <c r="L3" s="191"/>
      <c r="M3" s="191"/>
      <c r="N3" s="192"/>
    </row>
    <row r="4" spans="2:15" x14ac:dyDescent="0.3">
      <c r="B4" s="185"/>
      <c r="C4" s="178" t="s">
        <v>17</v>
      </c>
      <c r="D4" s="178"/>
      <c r="E4" s="178"/>
      <c r="F4" s="11">
        <v>-0.1</v>
      </c>
      <c r="G4" s="13" t="str">
        <f>IF(F4&lt;=0,"Valid input","Invalid input")</f>
        <v>Valid input</v>
      </c>
      <c r="H4" s="165"/>
      <c r="I4" s="165"/>
      <c r="J4" s="165"/>
      <c r="K4" s="165"/>
      <c r="L4" s="165"/>
      <c r="M4" s="165"/>
      <c r="N4" s="189"/>
    </row>
    <row r="5" spans="2:15" x14ac:dyDescent="0.3">
      <c r="B5" s="185"/>
      <c r="C5" s="178" t="s">
        <v>84</v>
      </c>
      <c r="D5" s="178"/>
      <c r="E5" s="178"/>
      <c r="F5" s="46">
        <f>IF(F4&lt;=E9,F4,E9)</f>
        <v>-0.1</v>
      </c>
      <c r="G5" s="47"/>
      <c r="H5" s="165"/>
      <c r="I5" s="165"/>
      <c r="J5" s="165"/>
      <c r="K5" s="165"/>
      <c r="L5" s="165"/>
      <c r="M5" s="165"/>
      <c r="N5" s="189"/>
    </row>
    <row r="6" spans="2:15" x14ac:dyDescent="0.3">
      <c r="B6" s="185"/>
      <c r="C6" s="178" t="s">
        <v>18</v>
      </c>
      <c r="D6" s="178"/>
      <c r="E6" s="178"/>
      <c r="F6" s="12">
        <v>10</v>
      </c>
      <c r="G6" s="12"/>
      <c r="H6" s="165"/>
      <c r="I6" s="165"/>
      <c r="J6" s="165"/>
      <c r="K6" s="165"/>
      <c r="L6" s="165"/>
      <c r="M6" s="165"/>
      <c r="N6" s="189"/>
    </row>
    <row r="7" spans="2:15" ht="10.199999999999999" customHeight="1" thickBot="1" x14ac:dyDescent="0.35">
      <c r="B7" s="185"/>
      <c r="C7" s="193"/>
      <c r="D7" s="193"/>
      <c r="E7" s="193"/>
      <c r="F7" s="193"/>
      <c r="G7" s="193"/>
      <c r="H7" s="193"/>
      <c r="I7" s="193"/>
      <c r="J7" s="193"/>
      <c r="K7" s="193"/>
      <c r="L7" s="193"/>
      <c r="M7" s="193"/>
      <c r="N7" s="189"/>
    </row>
    <row r="8" spans="2:15" ht="52.8" x14ac:dyDescent="0.3">
      <c r="B8" s="185"/>
      <c r="C8" s="182" t="s">
        <v>19</v>
      </c>
      <c r="D8" s="183"/>
      <c r="E8" s="31" t="s">
        <v>20</v>
      </c>
      <c r="F8" s="31" t="s">
        <v>21</v>
      </c>
      <c r="G8" s="31" t="s">
        <v>73</v>
      </c>
      <c r="H8" s="31" t="s">
        <v>2</v>
      </c>
      <c r="I8" s="31" t="s">
        <v>3</v>
      </c>
      <c r="J8" s="31" t="s">
        <v>4</v>
      </c>
      <c r="K8" s="31" t="s">
        <v>5</v>
      </c>
      <c r="L8" s="65" t="s">
        <v>6</v>
      </c>
      <c r="M8" s="66" t="s">
        <v>7</v>
      </c>
      <c r="N8" s="189"/>
      <c r="O8" s="3"/>
    </row>
    <row r="9" spans="2:15" x14ac:dyDescent="0.3">
      <c r="B9" s="185"/>
      <c r="C9" s="67" t="s">
        <v>22</v>
      </c>
      <c r="D9" s="62" t="s">
        <v>62</v>
      </c>
      <c r="E9" s="63">
        <f>0-'2__Load new road construction'!H6</f>
        <v>0</v>
      </c>
      <c r="F9" s="62">
        <v>-6</v>
      </c>
      <c r="G9" s="64">
        <f>VLOOKUP($D9,Soil_charateristics!$D$6:$N$24,5,FALSE)</f>
        <v>0</v>
      </c>
      <c r="H9" s="64">
        <f>VLOOKUP($D9,Soil_charateristics!$D$6:$N$24,6,FALSE)</f>
        <v>13</v>
      </c>
      <c r="I9" s="64">
        <f>VLOOKUP($D9,Soil_charateristics!$D$6:$N$24,7,FALSE)</f>
        <v>14</v>
      </c>
      <c r="J9" s="64">
        <f>VLOOKUP($D9,Soil_charateristics!$D$6:$N$24,8,FALSE)</f>
        <v>50</v>
      </c>
      <c r="K9" s="64">
        <f>VLOOKUP($D9,Soil_charateristics!$D$6:$N$24,9,FALSE)</f>
        <v>340</v>
      </c>
      <c r="L9" s="64">
        <f>VLOOKUP($D9,Soil_charateristics!$D$6:$N$24,10,FALSE)</f>
        <v>30</v>
      </c>
      <c r="M9" s="68">
        <f>VLOOKUP($D9,Soil_charateristics!$D$6:$N$24,11,FALSE)</f>
        <v>270</v>
      </c>
      <c r="N9" s="189"/>
      <c r="O9" s="4"/>
    </row>
    <row r="10" spans="2:15" x14ac:dyDescent="0.3">
      <c r="B10" s="185"/>
      <c r="C10" s="67" t="s">
        <v>23</v>
      </c>
      <c r="D10" s="62" t="s">
        <v>63</v>
      </c>
      <c r="E10" s="63">
        <f>F9</f>
        <v>-6</v>
      </c>
      <c r="F10" s="62">
        <v>-12</v>
      </c>
      <c r="G10" s="64">
        <f>VLOOKUP($D10,Soil_charateristics!$D$6:$N$24,5,FALSE)</f>
        <v>0</v>
      </c>
      <c r="H10" s="64">
        <f>VLOOKUP($D10,Soil_charateristics!$D$6:$N$24,6,FALSE)</f>
        <v>16</v>
      </c>
      <c r="I10" s="64">
        <f>VLOOKUP($D10,Soil_charateristics!$D$6:$N$24,7,FALSE)</f>
        <v>17</v>
      </c>
      <c r="J10" s="64">
        <f>VLOOKUP($D10,Soil_charateristics!$D$6:$N$24,8,FALSE)</f>
        <v>59</v>
      </c>
      <c r="K10" s="64">
        <f>VLOOKUP($D10,Soil_charateristics!$D$6:$N$24,9,FALSE)</f>
        <v>240</v>
      </c>
      <c r="L10" s="64">
        <f>VLOOKUP($D10,Soil_charateristics!$D$6:$N$24,10,FALSE)</f>
        <v>12</v>
      </c>
      <c r="M10" s="68">
        <f>VLOOKUP($D10,Soil_charateristics!$D$6:$N$24,11,FALSE)</f>
        <v>110</v>
      </c>
      <c r="N10" s="189"/>
      <c r="O10" s="61"/>
    </row>
    <row r="11" spans="2:15" x14ac:dyDescent="0.3">
      <c r="B11" s="185"/>
      <c r="C11" s="67" t="s">
        <v>24</v>
      </c>
      <c r="D11" s="62" t="s">
        <v>67</v>
      </c>
      <c r="E11" s="63">
        <f>F10</f>
        <v>-12</v>
      </c>
      <c r="F11" s="62">
        <v>-16</v>
      </c>
      <c r="G11" s="64">
        <f>VLOOKUP($D11,Soil_charateristics!$D$6:$N$24,5,FALSE)</f>
        <v>0</v>
      </c>
      <c r="H11" s="64">
        <f>VLOOKUP($D11,Soil_charateristics!$D$6:$N$24,6,FALSE)</f>
        <v>18</v>
      </c>
      <c r="I11" s="64">
        <f>VLOOKUP($D11,Soil_charateristics!$D$6:$N$24,7,FALSE)</f>
        <v>20</v>
      </c>
      <c r="J11" s="64">
        <f>VLOOKUP($D11,Soil_charateristics!$D$6:$N$24,8,FALSE)</f>
        <v>300</v>
      </c>
      <c r="K11" s="64">
        <f>VLOOKUP($D11,Soil_charateristics!$D$6:$N$24,9,FALSE)</f>
        <v>1000000000</v>
      </c>
      <c r="L11" s="64">
        <f>VLOOKUP($D11,Soil_charateristics!$D$6:$N$24,10,FALSE)</f>
        <v>550</v>
      </c>
      <c r="M11" s="68">
        <f>VLOOKUP($D11,Soil_charateristics!$D$6:$N$24,11,FALSE)</f>
        <v>1000000000</v>
      </c>
      <c r="N11" s="189"/>
      <c r="O11" s="4"/>
    </row>
    <row r="12" spans="2:15" x14ac:dyDescent="0.3">
      <c r="B12" s="185"/>
      <c r="C12" s="67" t="s">
        <v>25</v>
      </c>
      <c r="D12" s="62" t="s">
        <v>9</v>
      </c>
      <c r="E12" s="63">
        <f>F11</f>
        <v>-16</v>
      </c>
      <c r="F12" s="62">
        <v>-22</v>
      </c>
      <c r="G12" s="64">
        <f>VLOOKUP($D12,Soil_charateristics!$D$6:$N$24,5,FALSE)</f>
        <v>0</v>
      </c>
      <c r="H12" s="64">
        <f>VLOOKUP($D12,Soil_charateristics!$D$6:$N$24,6,FALSE)</f>
        <v>17</v>
      </c>
      <c r="I12" s="64">
        <f>VLOOKUP($D12,Soil_charateristics!$D$6:$N$24,7,FALSE)</f>
        <v>19</v>
      </c>
      <c r="J12" s="64">
        <f>VLOOKUP($D12,Soil_charateristics!$D$6:$N$24,8,FALSE)</f>
        <v>600</v>
      </c>
      <c r="K12" s="64">
        <f>VLOOKUP($D12,Soil_charateristics!$D$6:$N$24,9,FALSE)</f>
        <v>1000000000</v>
      </c>
      <c r="L12" s="64">
        <f>VLOOKUP($D12,Soil_charateristics!$D$6:$N$24,10,FALSE)</f>
        <v>200</v>
      </c>
      <c r="M12" s="68">
        <f>VLOOKUP($D12,Soil_charateristics!$D$6:$N$24,11,FALSE)</f>
        <v>1000000000</v>
      </c>
      <c r="N12" s="189"/>
      <c r="O12" s="4"/>
    </row>
    <row r="13" spans="2:15" ht="15" thickBot="1" x14ac:dyDescent="0.35">
      <c r="B13" s="185"/>
      <c r="C13" s="69" t="s">
        <v>26</v>
      </c>
      <c r="D13" s="70" t="s">
        <v>69</v>
      </c>
      <c r="E13" s="71">
        <f>F12</f>
        <v>-22</v>
      </c>
      <c r="F13" s="70">
        <v>-25</v>
      </c>
      <c r="G13" s="72">
        <f>VLOOKUP($D13,Soil_charateristics!$D$6:$N$24,5,FALSE)</f>
        <v>0</v>
      </c>
      <c r="H13" s="71">
        <f>VLOOKUP($D13,Soil_charateristics!$D$6:$N$24,6,FALSE)</f>
        <v>17</v>
      </c>
      <c r="I13" s="71">
        <f>VLOOKUP($D13,Soil_charateristics!$D$6:$N$24,7,FALSE)</f>
        <v>19</v>
      </c>
      <c r="J13" s="71">
        <f>VLOOKUP($D13,Soil_charateristics!$D$6:$N$24,8,FALSE)</f>
        <v>1800</v>
      </c>
      <c r="K13" s="71">
        <f>VLOOKUP($D13,Soil_charateristics!$D$6:$N$24,9,FALSE)</f>
        <v>1000000000</v>
      </c>
      <c r="L13" s="71">
        <f>VLOOKUP($D13,Soil_charateristics!$D$6:$N$24,10,FALSE)</f>
        <v>600</v>
      </c>
      <c r="M13" s="73">
        <f>VLOOKUP($D13,Soil_charateristics!$D$6:$N$24,11,FALSE)</f>
        <v>1000000000</v>
      </c>
      <c r="N13" s="189"/>
      <c r="O13" s="4"/>
    </row>
    <row r="14" spans="2:15" x14ac:dyDescent="0.3">
      <c r="B14" s="185"/>
      <c r="C14" s="184" t="s">
        <v>27</v>
      </c>
      <c r="D14" s="184"/>
      <c r="E14" s="184"/>
      <c r="F14" s="184"/>
      <c r="G14" s="184"/>
      <c r="H14" s="184"/>
      <c r="I14" s="184"/>
      <c r="J14" s="184"/>
      <c r="K14" s="184"/>
      <c r="L14" s="184"/>
      <c r="M14" s="184"/>
      <c r="N14" s="189"/>
      <c r="O14" s="4"/>
    </row>
    <row r="15" spans="2:15" ht="10.199999999999999" customHeight="1" thickBot="1" x14ac:dyDescent="0.35">
      <c r="B15" s="185"/>
      <c r="C15" s="172"/>
      <c r="D15" s="172"/>
      <c r="E15" s="172"/>
      <c r="F15" s="172"/>
      <c r="G15" s="172"/>
      <c r="H15" s="172"/>
      <c r="I15" s="172"/>
      <c r="J15" s="172"/>
      <c r="K15" s="172"/>
      <c r="L15" s="172"/>
      <c r="M15" s="172"/>
      <c r="N15" s="189"/>
    </row>
    <row r="16" spans="2:15" ht="14.4" customHeight="1" x14ac:dyDescent="0.3">
      <c r="B16" s="185"/>
      <c r="C16" s="170" t="s">
        <v>28</v>
      </c>
      <c r="D16" s="171"/>
      <c r="E16" s="172"/>
      <c r="F16" s="194" t="s">
        <v>29</v>
      </c>
      <c r="G16" s="195"/>
      <c r="H16" s="195"/>
      <c r="I16" s="195"/>
      <c r="J16" s="195"/>
      <c r="K16" s="195"/>
      <c r="L16" s="195"/>
      <c r="M16" s="196"/>
      <c r="N16" s="189"/>
    </row>
    <row r="17" spans="2:14" x14ac:dyDescent="0.3">
      <c r="B17" s="185"/>
      <c r="C17" s="166" t="str">
        <f>D9</f>
        <v>Clay weak, silty  </v>
      </c>
      <c r="D17" s="167"/>
      <c r="E17" s="172"/>
      <c r="F17" s="173"/>
      <c r="G17" s="114"/>
      <c r="H17" s="114"/>
      <c r="I17" s="114"/>
      <c r="J17" s="114"/>
      <c r="K17" s="114"/>
      <c r="L17" s="114"/>
      <c r="M17" s="174"/>
      <c r="N17" s="189"/>
    </row>
    <row r="18" spans="2:14" x14ac:dyDescent="0.3">
      <c r="B18" s="185"/>
      <c r="C18" s="32" t="s">
        <v>30</v>
      </c>
      <c r="D18" s="34">
        <f>IF((((H9*(D28-D26))+(I9*D26)))&gt;0,(((H9*(D28-D26))+(I9*D26))),"Invalid input")</f>
        <v>83.9</v>
      </c>
      <c r="E18" s="172"/>
      <c r="F18" s="173"/>
      <c r="G18" s="114"/>
      <c r="H18" s="114"/>
      <c r="I18" s="114"/>
      <c r="J18" s="114"/>
      <c r="K18" s="114"/>
      <c r="L18" s="114"/>
      <c r="M18" s="174"/>
      <c r="N18" s="189"/>
    </row>
    <row r="19" spans="2:14" x14ac:dyDescent="0.3">
      <c r="B19" s="185"/>
      <c r="C19" s="78" t="s">
        <v>31</v>
      </c>
      <c r="D19" s="79">
        <f>D18</f>
        <v>83.9</v>
      </c>
      <c r="E19" s="172"/>
      <c r="F19" s="173"/>
      <c r="G19" s="114"/>
      <c r="H19" s="114"/>
      <c r="I19" s="114"/>
      <c r="J19" s="114"/>
      <c r="K19" s="114"/>
      <c r="L19" s="114"/>
      <c r="M19" s="174"/>
      <c r="N19" s="189"/>
    </row>
    <row r="20" spans="2:14" x14ac:dyDescent="0.3">
      <c r="B20" s="185"/>
      <c r="C20" s="32" t="s">
        <v>32</v>
      </c>
      <c r="D20" s="34">
        <f>IF($F$6*D26&gt;=0,$F$6*D26,0)</f>
        <v>59</v>
      </c>
      <c r="E20" s="172"/>
      <c r="F20" s="173"/>
      <c r="G20" s="114"/>
      <c r="H20" s="114"/>
      <c r="I20" s="114"/>
      <c r="J20" s="114"/>
      <c r="K20" s="114"/>
      <c r="L20" s="114"/>
      <c r="M20" s="174"/>
      <c r="N20" s="189"/>
    </row>
    <row r="21" spans="2:14" x14ac:dyDescent="0.3">
      <c r="B21" s="185"/>
      <c r="C21" s="78" t="s">
        <v>33</v>
      </c>
      <c r="D21" s="79">
        <f>D20</f>
        <v>59</v>
      </c>
      <c r="E21" s="172"/>
      <c r="F21" s="173"/>
      <c r="G21" s="114"/>
      <c r="H21" s="114"/>
      <c r="I21" s="114"/>
      <c r="J21" s="114"/>
      <c r="K21" s="114"/>
      <c r="L21" s="114"/>
      <c r="M21" s="174"/>
      <c r="N21" s="189"/>
    </row>
    <row r="22" spans="2:14" x14ac:dyDescent="0.3">
      <c r="B22" s="185"/>
      <c r="C22" s="32" t="s">
        <v>34</v>
      </c>
      <c r="D22" s="34">
        <f>IF((D18-D20)&gt;0,(D18-D20),"Invalid input")</f>
        <v>24.900000000000006</v>
      </c>
      <c r="E22" s="172"/>
      <c r="F22" s="173"/>
      <c r="G22" s="114"/>
      <c r="H22" s="114"/>
      <c r="I22" s="114"/>
      <c r="J22" s="114"/>
      <c r="K22" s="114"/>
      <c r="L22" s="114"/>
      <c r="M22" s="174"/>
      <c r="N22" s="189"/>
    </row>
    <row r="23" spans="2:14" x14ac:dyDescent="0.3">
      <c r="B23" s="185"/>
      <c r="C23" s="78" t="s">
        <v>35</v>
      </c>
      <c r="D23" s="79">
        <f>D22</f>
        <v>24.900000000000006</v>
      </c>
      <c r="E23" s="172"/>
      <c r="F23" s="173"/>
      <c r="G23" s="114"/>
      <c r="H23" s="114"/>
      <c r="I23" s="114"/>
      <c r="J23" s="114"/>
      <c r="K23" s="114"/>
      <c r="L23" s="114"/>
      <c r="M23" s="174"/>
      <c r="N23" s="189"/>
    </row>
    <row r="24" spans="2:14" x14ac:dyDescent="0.3">
      <c r="B24" s="185"/>
      <c r="C24" s="168" t="s">
        <v>36</v>
      </c>
      <c r="D24" s="169"/>
      <c r="E24" s="172"/>
      <c r="F24" s="173"/>
      <c r="G24" s="114"/>
      <c r="H24" s="114"/>
      <c r="I24" s="114"/>
      <c r="J24" s="114"/>
      <c r="K24" s="114"/>
      <c r="L24" s="114"/>
      <c r="M24" s="174"/>
      <c r="N24" s="189"/>
    </row>
    <row r="25" spans="2:14" x14ac:dyDescent="0.3">
      <c r="B25" s="185"/>
      <c r="C25" s="33" t="s">
        <v>37</v>
      </c>
      <c r="D25" s="34">
        <f>E9</f>
        <v>0</v>
      </c>
      <c r="E25" s="172"/>
      <c r="F25" s="173"/>
      <c r="G25" s="114"/>
      <c r="H25" s="114"/>
      <c r="I25" s="114"/>
      <c r="J25" s="114"/>
      <c r="K25" s="114"/>
      <c r="L25" s="114"/>
      <c r="M25" s="174"/>
      <c r="N25" s="189"/>
    </row>
    <row r="26" spans="2:14" x14ac:dyDescent="0.3">
      <c r="B26" s="185"/>
      <c r="C26" s="33" t="s">
        <v>38</v>
      </c>
      <c r="D26" s="34">
        <f>IF((($F$5-D27)&gt;=0),($F$5-D27),"0")</f>
        <v>5.9</v>
      </c>
      <c r="E26" s="172"/>
      <c r="F26" s="173"/>
      <c r="G26" s="114"/>
      <c r="H26" s="114"/>
      <c r="I26" s="114"/>
      <c r="J26" s="114"/>
      <c r="K26" s="114"/>
      <c r="L26" s="114"/>
      <c r="M26" s="174"/>
      <c r="N26" s="189"/>
    </row>
    <row r="27" spans="2:14" x14ac:dyDescent="0.3">
      <c r="B27" s="185"/>
      <c r="C27" s="33" t="s">
        <v>39</v>
      </c>
      <c r="D27" s="34">
        <f>IF(F9&lt;0,F9,"Invalid input")</f>
        <v>-6</v>
      </c>
      <c r="E27" s="172"/>
      <c r="F27" s="173"/>
      <c r="G27" s="114"/>
      <c r="H27" s="114"/>
      <c r="I27" s="114"/>
      <c r="J27" s="114"/>
      <c r="K27" s="114"/>
      <c r="L27" s="114"/>
      <c r="M27" s="174"/>
      <c r="N27" s="189"/>
    </row>
    <row r="28" spans="2:14" ht="15" thickBot="1" x14ac:dyDescent="0.35">
      <c r="B28" s="185"/>
      <c r="C28" s="35" t="s">
        <v>40</v>
      </c>
      <c r="D28" s="95">
        <f>IF(E9-F9&gt;0,(E9-F9),"Invalid input")</f>
        <v>6</v>
      </c>
      <c r="E28" s="172"/>
      <c r="F28" s="173"/>
      <c r="G28" s="114"/>
      <c r="H28" s="114"/>
      <c r="I28" s="114"/>
      <c r="J28" s="114"/>
      <c r="K28" s="114"/>
      <c r="L28" s="114"/>
      <c r="M28" s="174"/>
      <c r="N28" s="189"/>
    </row>
    <row r="29" spans="2:14" ht="9" customHeight="1" thickBot="1" x14ac:dyDescent="0.35">
      <c r="B29" s="185"/>
      <c r="C29" s="130"/>
      <c r="D29" s="130"/>
      <c r="E29" s="172"/>
      <c r="F29" s="173"/>
      <c r="G29" s="114"/>
      <c r="H29" s="114"/>
      <c r="I29" s="114"/>
      <c r="J29" s="114"/>
      <c r="K29" s="114"/>
      <c r="L29" s="114"/>
      <c r="M29" s="174"/>
      <c r="N29" s="189"/>
    </row>
    <row r="30" spans="2:14" x14ac:dyDescent="0.3">
      <c r="B30" s="185"/>
      <c r="C30" s="170" t="s">
        <v>41</v>
      </c>
      <c r="D30" s="171"/>
      <c r="E30" s="172"/>
      <c r="F30" s="173"/>
      <c r="G30" s="114"/>
      <c r="H30" s="114"/>
      <c r="I30" s="114"/>
      <c r="J30" s="114"/>
      <c r="K30" s="114"/>
      <c r="L30" s="114"/>
      <c r="M30" s="174"/>
      <c r="N30" s="189"/>
    </row>
    <row r="31" spans="2:14" x14ac:dyDescent="0.3">
      <c r="B31" s="185"/>
      <c r="C31" s="166" t="str">
        <f>D10</f>
        <v>Clay , silty</v>
      </c>
      <c r="D31" s="167"/>
      <c r="E31" s="172"/>
      <c r="F31" s="173"/>
      <c r="G31" s="114"/>
      <c r="H31" s="114"/>
      <c r="I31" s="114"/>
      <c r="J31" s="114"/>
      <c r="K31" s="114"/>
      <c r="L31" s="114"/>
      <c r="M31" s="174"/>
      <c r="N31" s="189"/>
    </row>
    <row r="32" spans="2:14" x14ac:dyDescent="0.3">
      <c r="B32" s="185"/>
      <c r="C32" s="32" t="s">
        <v>30</v>
      </c>
      <c r="D32" s="34">
        <f>IF((((H10*(D42-D40))+(I10*D40)))&gt;0,(((H10*(D42-D40))+(I10*D40))),"Invalid input")</f>
        <v>102</v>
      </c>
      <c r="E32" s="172"/>
      <c r="F32" s="173"/>
      <c r="G32" s="114"/>
      <c r="H32" s="114"/>
      <c r="I32" s="114"/>
      <c r="J32" s="114"/>
      <c r="K32" s="114"/>
      <c r="L32" s="114"/>
      <c r="M32" s="174"/>
      <c r="N32" s="189"/>
    </row>
    <row r="33" spans="2:14" x14ac:dyDescent="0.3">
      <c r="B33" s="185"/>
      <c r="C33" s="78" t="s">
        <v>31</v>
      </c>
      <c r="D33" s="79">
        <f>D19+D32</f>
        <v>185.9</v>
      </c>
      <c r="E33" s="172"/>
      <c r="F33" s="173"/>
      <c r="G33" s="114"/>
      <c r="H33" s="114"/>
      <c r="I33" s="114"/>
      <c r="J33" s="114"/>
      <c r="K33" s="114"/>
      <c r="L33" s="114"/>
      <c r="M33" s="174"/>
      <c r="N33" s="189"/>
    </row>
    <row r="34" spans="2:14" x14ac:dyDescent="0.3">
      <c r="B34" s="185"/>
      <c r="C34" s="32" t="s">
        <v>32</v>
      </c>
      <c r="D34" s="34">
        <f>IF($F$6*D40&gt;=0,$F$6*D40,0)</f>
        <v>60</v>
      </c>
      <c r="E34" s="172"/>
      <c r="F34" s="173"/>
      <c r="G34" s="114"/>
      <c r="H34" s="114"/>
      <c r="I34" s="114"/>
      <c r="J34" s="114"/>
      <c r="K34" s="114"/>
      <c r="L34" s="114"/>
      <c r="M34" s="174"/>
      <c r="N34" s="189"/>
    </row>
    <row r="35" spans="2:14" x14ac:dyDescent="0.3">
      <c r="B35" s="185"/>
      <c r="C35" s="78" t="s">
        <v>33</v>
      </c>
      <c r="D35" s="79">
        <f>D21+D34</f>
        <v>119</v>
      </c>
      <c r="E35" s="172"/>
      <c r="F35" s="173"/>
      <c r="G35" s="114"/>
      <c r="H35" s="114"/>
      <c r="I35" s="114"/>
      <c r="J35" s="114"/>
      <c r="K35" s="114"/>
      <c r="L35" s="114"/>
      <c r="M35" s="174"/>
      <c r="N35" s="189"/>
    </row>
    <row r="36" spans="2:14" x14ac:dyDescent="0.3">
      <c r="B36" s="185"/>
      <c r="C36" s="32" t="s">
        <v>34</v>
      </c>
      <c r="D36" s="34">
        <f>IF((D32-D34)&gt;0,(D32-D34),"Invalid input")</f>
        <v>42</v>
      </c>
      <c r="E36" s="172"/>
      <c r="F36" s="173"/>
      <c r="G36" s="114"/>
      <c r="H36" s="114"/>
      <c r="I36" s="114"/>
      <c r="J36" s="114"/>
      <c r="K36" s="114"/>
      <c r="L36" s="114"/>
      <c r="M36" s="174"/>
      <c r="N36" s="189"/>
    </row>
    <row r="37" spans="2:14" x14ac:dyDescent="0.3">
      <c r="B37" s="185"/>
      <c r="C37" s="78" t="s">
        <v>35</v>
      </c>
      <c r="D37" s="79">
        <f>D23+D36</f>
        <v>66.900000000000006</v>
      </c>
      <c r="E37" s="172"/>
      <c r="F37" s="173"/>
      <c r="G37" s="114"/>
      <c r="H37" s="114"/>
      <c r="I37" s="114"/>
      <c r="J37" s="114"/>
      <c r="K37" s="114"/>
      <c r="L37" s="114"/>
      <c r="M37" s="174"/>
      <c r="N37" s="189"/>
    </row>
    <row r="38" spans="2:14" x14ac:dyDescent="0.3">
      <c r="B38" s="185"/>
      <c r="C38" s="168" t="s">
        <v>36</v>
      </c>
      <c r="D38" s="169"/>
      <c r="E38" s="172"/>
      <c r="F38" s="173"/>
      <c r="G38" s="114"/>
      <c r="H38" s="114"/>
      <c r="I38" s="114"/>
      <c r="J38" s="114"/>
      <c r="K38" s="114"/>
      <c r="L38" s="114"/>
      <c r="M38" s="174"/>
      <c r="N38" s="189"/>
    </row>
    <row r="39" spans="2:14" x14ac:dyDescent="0.3">
      <c r="B39" s="185"/>
      <c r="C39" s="33" t="s">
        <v>37</v>
      </c>
      <c r="D39" s="34">
        <f>IF(E10&lt;0,E10,"Invalid input")</f>
        <v>-6</v>
      </c>
      <c r="E39" s="172"/>
      <c r="F39" s="173"/>
      <c r="G39" s="114"/>
      <c r="H39" s="114"/>
      <c r="I39" s="114"/>
      <c r="J39" s="114"/>
      <c r="K39" s="114"/>
      <c r="L39" s="114"/>
      <c r="M39" s="174"/>
      <c r="N39" s="189"/>
    </row>
    <row r="40" spans="2:14" x14ac:dyDescent="0.3">
      <c r="B40" s="185"/>
      <c r="C40" s="33" t="s">
        <v>38</v>
      </c>
      <c r="D40" s="34">
        <f>IF((($F$5-D41)&lt;=D42),($F$5-D41),D42)</f>
        <v>6</v>
      </c>
      <c r="E40" s="172"/>
      <c r="F40" s="173"/>
      <c r="G40" s="114"/>
      <c r="H40" s="114"/>
      <c r="I40" s="114"/>
      <c r="J40" s="114"/>
      <c r="K40" s="114"/>
      <c r="L40" s="114"/>
      <c r="M40" s="174"/>
      <c r="N40" s="189"/>
    </row>
    <row r="41" spans="2:14" x14ac:dyDescent="0.3">
      <c r="B41" s="185"/>
      <c r="C41" s="33" t="s">
        <v>39</v>
      </c>
      <c r="D41" s="34">
        <f>IF(F10&lt;0,F10,"Invalid input")</f>
        <v>-12</v>
      </c>
      <c r="E41" s="172"/>
      <c r="F41" s="173"/>
      <c r="G41" s="114"/>
      <c r="H41" s="114"/>
      <c r="I41" s="114"/>
      <c r="J41" s="114"/>
      <c r="K41" s="114"/>
      <c r="L41" s="114"/>
      <c r="M41" s="174"/>
      <c r="N41" s="189"/>
    </row>
    <row r="42" spans="2:14" ht="15" thickBot="1" x14ac:dyDescent="0.35">
      <c r="B42" s="185"/>
      <c r="C42" s="35" t="s">
        <v>40</v>
      </c>
      <c r="D42" s="95">
        <f>IF(E10-F10&gt;0,(E10-F10),"Invalid input")</f>
        <v>6</v>
      </c>
      <c r="E42" s="172"/>
      <c r="F42" s="173"/>
      <c r="G42" s="114"/>
      <c r="H42" s="114"/>
      <c r="I42" s="114"/>
      <c r="J42" s="114"/>
      <c r="K42" s="114"/>
      <c r="L42" s="114"/>
      <c r="M42" s="174"/>
      <c r="N42" s="189"/>
    </row>
    <row r="43" spans="2:14" ht="11.4" customHeight="1" thickBot="1" x14ac:dyDescent="0.35">
      <c r="B43" s="185"/>
      <c r="C43" s="130"/>
      <c r="D43" s="130"/>
      <c r="E43" s="172"/>
      <c r="F43" s="173"/>
      <c r="G43" s="114"/>
      <c r="H43" s="114"/>
      <c r="I43" s="114"/>
      <c r="J43" s="114"/>
      <c r="K43" s="114"/>
      <c r="L43" s="114"/>
      <c r="M43" s="174"/>
      <c r="N43" s="189"/>
    </row>
    <row r="44" spans="2:14" x14ac:dyDescent="0.3">
      <c r="B44" s="185"/>
      <c r="C44" s="170" t="s">
        <v>42</v>
      </c>
      <c r="D44" s="171"/>
      <c r="E44" s="172"/>
      <c r="F44" s="173"/>
      <c r="G44" s="114"/>
      <c r="H44" s="114"/>
      <c r="I44" s="114"/>
      <c r="J44" s="114"/>
      <c r="K44" s="114"/>
      <c r="L44" s="114"/>
      <c r="M44" s="174"/>
      <c r="N44" s="189"/>
    </row>
    <row r="45" spans="2:14" x14ac:dyDescent="0.3">
      <c r="B45" s="185"/>
      <c r="C45" s="166" t="str">
        <f>D11</f>
        <v>Loose Sand, silty</v>
      </c>
      <c r="D45" s="167"/>
      <c r="E45" s="172"/>
      <c r="F45" s="173"/>
      <c r="G45" s="114"/>
      <c r="H45" s="114"/>
      <c r="I45" s="114"/>
      <c r="J45" s="114"/>
      <c r="K45" s="114"/>
      <c r="L45" s="114"/>
      <c r="M45" s="174"/>
      <c r="N45" s="189"/>
    </row>
    <row r="46" spans="2:14" ht="15" thickBot="1" x14ac:dyDescent="0.35">
      <c r="B46" s="185"/>
      <c r="C46" s="32" t="s">
        <v>30</v>
      </c>
      <c r="D46" s="34">
        <f>IF((((H11*(D56-D54))+(I11*D54)))&gt;0,(((H11*(D56-D54))+(I11*D54))),"Invalid input")</f>
        <v>80</v>
      </c>
      <c r="E46" s="172"/>
      <c r="F46" s="175"/>
      <c r="G46" s="176"/>
      <c r="H46" s="176"/>
      <c r="I46" s="176"/>
      <c r="J46" s="176"/>
      <c r="K46" s="176"/>
      <c r="L46" s="176"/>
      <c r="M46" s="177"/>
      <c r="N46" s="189"/>
    </row>
    <row r="47" spans="2:14" x14ac:dyDescent="0.3">
      <c r="B47" s="185"/>
      <c r="C47" s="78" t="s">
        <v>31</v>
      </c>
      <c r="D47" s="79">
        <f>D33+D46</f>
        <v>265.89999999999998</v>
      </c>
      <c r="E47" s="172"/>
      <c r="F47" s="136"/>
      <c r="G47" s="136"/>
      <c r="H47" s="136"/>
      <c r="I47" s="136"/>
      <c r="J47" s="136"/>
      <c r="K47" s="136"/>
      <c r="L47" s="136"/>
      <c r="M47" s="136"/>
      <c r="N47" s="189"/>
    </row>
    <row r="48" spans="2:14" x14ac:dyDescent="0.3">
      <c r="B48" s="185"/>
      <c r="C48" s="32" t="s">
        <v>32</v>
      </c>
      <c r="D48" s="34">
        <f>IF($F$6*D54&gt;=0,$F$6*D54,0)</f>
        <v>40</v>
      </c>
      <c r="E48" s="172"/>
      <c r="F48" s="114"/>
      <c r="G48" s="114"/>
      <c r="H48" s="114"/>
      <c r="I48" s="114"/>
      <c r="J48" s="114"/>
      <c r="K48" s="114"/>
      <c r="L48" s="114"/>
      <c r="M48" s="114"/>
      <c r="N48" s="189"/>
    </row>
    <row r="49" spans="2:14" x14ac:dyDescent="0.3">
      <c r="B49" s="185"/>
      <c r="C49" s="78" t="s">
        <v>33</v>
      </c>
      <c r="D49" s="79">
        <f>D35+D48</f>
        <v>159</v>
      </c>
      <c r="E49" s="172"/>
      <c r="F49" s="114"/>
      <c r="G49" s="114"/>
      <c r="H49" s="114"/>
      <c r="I49" s="114"/>
      <c r="J49" s="114"/>
      <c r="K49" s="114"/>
      <c r="L49" s="114"/>
      <c r="M49" s="114"/>
      <c r="N49" s="189"/>
    </row>
    <row r="50" spans="2:14" x14ac:dyDescent="0.3">
      <c r="B50" s="185"/>
      <c r="C50" s="32" t="s">
        <v>34</v>
      </c>
      <c r="D50" s="34">
        <f>IF((D46-D48)&gt;0,(D46-D48),"Invalid input")</f>
        <v>40</v>
      </c>
      <c r="E50" s="172"/>
      <c r="F50" s="114"/>
      <c r="G50" s="114"/>
      <c r="H50" s="114"/>
      <c r="I50" s="114"/>
      <c r="J50" s="114"/>
      <c r="K50" s="114"/>
      <c r="L50" s="114"/>
      <c r="M50" s="114"/>
      <c r="N50" s="189"/>
    </row>
    <row r="51" spans="2:14" x14ac:dyDescent="0.3">
      <c r="B51" s="185"/>
      <c r="C51" s="78" t="s">
        <v>35</v>
      </c>
      <c r="D51" s="79">
        <f>D37+D50</f>
        <v>106.9</v>
      </c>
      <c r="E51" s="172"/>
      <c r="F51" s="114"/>
      <c r="G51" s="114"/>
      <c r="H51" s="114"/>
      <c r="I51" s="114"/>
      <c r="J51" s="114"/>
      <c r="K51" s="114"/>
      <c r="L51" s="114"/>
      <c r="M51" s="114"/>
      <c r="N51" s="189"/>
    </row>
    <row r="52" spans="2:14" x14ac:dyDescent="0.3">
      <c r="B52" s="185"/>
      <c r="C52" s="168" t="s">
        <v>36</v>
      </c>
      <c r="D52" s="169"/>
      <c r="E52" s="172"/>
      <c r="F52" s="114"/>
      <c r="G52" s="114"/>
      <c r="H52" s="114"/>
      <c r="I52" s="114"/>
      <c r="J52" s="114"/>
      <c r="K52" s="114"/>
      <c r="L52" s="114"/>
      <c r="M52" s="114"/>
      <c r="N52" s="189"/>
    </row>
    <row r="53" spans="2:14" x14ac:dyDescent="0.3">
      <c r="B53" s="185"/>
      <c r="C53" s="33" t="s">
        <v>37</v>
      </c>
      <c r="D53" s="34">
        <f>IF(E11&lt;0,E11,"Invalid input")</f>
        <v>-12</v>
      </c>
      <c r="E53" s="172"/>
      <c r="F53" s="114"/>
      <c r="G53" s="114"/>
      <c r="H53" s="114"/>
      <c r="I53" s="114"/>
      <c r="J53" s="114"/>
      <c r="K53" s="114"/>
      <c r="L53" s="114"/>
      <c r="M53" s="114"/>
      <c r="N53" s="189"/>
    </row>
    <row r="54" spans="2:14" x14ac:dyDescent="0.3">
      <c r="B54" s="185"/>
      <c r="C54" s="33" t="s">
        <v>38</v>
      </c>
      <c r="D54" s="34">
        <f>IF((($F$5-D55)&lt;=D56),($F$5-D55),D56)</f>
        <v>4</v>
      </c>
      <c r="E54" s="172"/>
      <c r="F54" s="114"/>
      <c r="G54" s="114"/>
      <c r="H54" s="114"/>
      <c r="I54" s="114"/>
      <c r="J54" s="114"/>
      <c r="K54" s="114"/>
      <c r="L54" s="114"/>
      <c r="M54" s="114"/>
      <c r="N54" s="189"/>
    </row>
    <row r="55" spans="2:14" x14ac:dyDescent="0.3">
      <c r="B55" s="185"/>
      <c r="C55" s="33" t="s">
        <v>39</v>
      </c>
      <c r="D55" s="34">
        <f>IF(F11&lt;0,F11,"Invalid input")</f>
        <v>-16</v>
      </c>
      <c r="E55" s="172"/>
      <c r="F55" s="114"/>
      <c r="G55" s="114"/>
      <c r="H55" s="114"/>
      <c r="I55" s="114"/>
      <c r="J55" s="114"/>
      <c r="K55" s="114"/>
      <c r="L55" s="114"/>
      <c r="M55" s="114"/>
      <c r="N55" s="189"/>
    </row>
    <row r="56" spans="2:14" ht="15" thickBot="1" x14ac:dyDescent="0.35">
      <c r="B56" s="185"/>
      <c r="C56" s="35" t="s">
        <v>40</v>
      </c>
      <c r="D56" s="95">
        <f>IF(E11-F11&gt;0,(E11-F11),"Invalid input")</f>
        <v>4</v>
      </c>
      <c r="E56" s="172"/>
      <c r="F56" s="114"/>
      <c r="G56" s="114"/>
      <c r="H56" s="114"/>
      <c r="I56" s="114"/>
      <c r="J56" s="114"/>
      <c r="K56" s="114"/>
      <c r="L56" s="114"/>
      <c r="M56" s="114"/>
      <c r="N56" s="189"/>
    </row>
    <row r="57" spans="2:14" ht="9" customHeight="1" thickBot="1" x14ac:dyDescent="0.35">
      <c r="B57" s="185"/>
      <c r="C57" s="130"/>
      <c r="D57" s="130"/>
      <c r="E57" s="172"/>
      <c r="F57" s="114"/>
      <c r="G57" s="114"/>
      <c r="H57" s="114"/>
      <c r="I57" s="114"/>
      <c r="J57" s="114"/>
      <c r="K57" s="114"/>
      <c r="L57" s="114"/>
      <c r="M57" s="114"/>
      <c r="N57" s="189"/>
    </row>
    <row r="58" spans="2:14" x14ac:dyDescent="0.3">
      <c r="B58" s="185"/>
      <c r="C58" s="170" t="s">
        <v>43</v>
      </c>
      <c r="D58" s="171"/>
      <c r="E58" s="172"/>
      <c r="F58" s="114"/>
      <c r="G58" s="114"/>
      <c r="H58" s="114"/>
      <c r="I58" s="114"/>
      <c r="J58" s="114"/>
      <c r="K58" s="114"/>
      <c r="L58" s="114"/>
      <c r="M58" s="114"/>
      <c r="N58" s="189"/>
    </row>
    <row r="59" spans="2:14" x14ac:dyDescent="0.3">
      <c r="B59" s="185"/>
      <c r="C59" s="166" t="str">
        <f>D12</f>
        <v>Medium Sand</v>
      </c>
      <c r="D59" s="167"/>
      <c r="E59" s="172"/>
      <c r="F59" s="114"/>
      <c r="G59" s="114"/>
      <c r="H59" s="114"/>
      <c r="I59" s="114"/>
      <c r="J59" s="114"/>
      <c r="K59" s="114"/>
      <c r="L59" s="114"/>
      <c r="M59" s="114"/>
      <c r="N59" s="189"/>
    </row>
    <row r="60" spans="2:14" x14ac:dyDescent="0.3">
      <c r="B60" s="185"/>
      <c r="C60" s="32" t="s">
        <v>30</v>
      </c>
      <c r="D60" s="34">
        <f>IF((((H12*(D70-D68))+(I12*D68)))&gt;0,(((H12*(D70-D68))+(I12*D68))),"Invalid input")</f>
        <v>114</v>
      </c>
      <c r="E60" s="172"/>
      <c r="F60" s="114"/>
      <c r="G60" s="114"/>
      <c r="H60" s="114"/>
      <c r="I60" s="114"/>
      <c r="J60" s="114"/>
      <c r="K60" s="114"/>
      <c r="L60" s="114"/>
      <c r="M60" s="114"/>
      <c r="N60" s="189"/>
    </row>
    <row r="61" spans="2:14" x14ac:dyDescent="0.3">
      <c r="B61" s="185"/>
      <c r="C61" s="78" t="s">
        <v>31</v>
      </c>
      <c r="D61" s="79">
        <f>D47+D60</f>
        <v>379.9</v>
      </c>
      <c r="E61" s="172"/>
      <c r="F61" s="114"/>
      <c r="G61" s="114"/>
      <c r="H61" s="114"/>
      <c r="I61" s="114"/>
      <c r="J61" s="114"/>
      <c r="K61" s="114"/>
      <c r="L61" s="114"/>
      <c r="M61" s="114"/>
      <c r="N61" s="189"/>
    </row>
    <row r="62" spans="2:14" x14ac:dyDescent="0.3">
      <c r="B62" s="185"/>
      <c r="C62" s="32" t="s">
        <v>32</v>
      </c>
      <c r="D62" s="34">
        <f>IF($F$6*D68&gt;=0,$F$6*D68,0)</f>
        <v>60</v>
      </c>
      <c r="E62" s="172"/>
      <c r="F62" s="114"/>
      <c r="G62" s="114"/>
      <c r="H62" s="114"/>
      <c r="I62" s="114"/>
      <c r="J62" s="114"/>
      <c r="K62" s="114"/>
      <c r="L62" s="114"/>
      <c r="M62" s="114"/>
      <c r="N62" s="189"/>
    </row>
    <row r="63" spans="2:14" x14ac:dyDescent="0.3">
      <c r="B63" s="185"/>
      <c r="C63" s="78" t="s">
        <v>33</v>
      </c>
      <c r="D63" s="79">
        <f>D49+D62</f>
        <v>219</v>
      </c>
      <c r="E63" s="172"/>
      <c r="F63" s="114"/>
      <c r="G63" s="114"/>
      <c r="H63" s="114"/>
      <c r="I63" s="114"/>
      <c r="J63" s="114"/>
      <c r="K63" s="114"/>
      <c r="L63" s="114"/>
      <c r="M63" s="114"/>
      <c r="N63" s="189"/>
    </row>
    <row r="64" spans="2:14" x14ac:dyDescent="0.3">
      <c r="B64" s="185"/>
      <c r="C64" s="32" t="s">
        <v>34</v>
      </c>
      <c r="D64" s="34">
        <f>IF((D60-D62)&gt;0,(D60-D62),"Invalid input")</f>
        <v>54</v>
      </c>
      <c r="E64" s="172"/>
      <c r="F64" s="114"/>
      <c r="G64" s="114"/>
      <c r="H64" s="114"/>
      <c r="I64" s="114"/>
      <c r="J64" s="114"/>
      <c r="K64" s="114"/>
      <c r="L64" s="114"/>
      <c r="M64" s="114"/>
      <c r="N64" s="189"/>
    </row>
    <row r="65" spans="2:14" x14ac:dyDescent="0.3">
      <c r="B65" s="185"/>
      <c r="C65" s="78" t="s">
        <v>35</v>
      </c>
      <c r="D65" s="79">
        <f>D51+D64</f>
        <v>160.9</v>
      </c>
      <c r="E65" s="172"/>
      <c r="F65" s="114"/>
      <c r="G65" s="114"/>
      <c r="H65" s="114"/>
      <c r="I65" s="114"/>
      <c r="J65" s="114"/>
      <c r="K65" s="114"/>
      <c r="L65" s="114"/>
      <c r="M65" s="114"/>
      <c r="N65" s="189"/>
    </row>
    <row r="66" spans="2:14" x14ac:dyDescent="0.3">
      <c r="B66" s="185"/>
      <c r="C66" s="179" t="s">
        <v>36</v>
      </c>
      <c r="D66" s="180"/>
      <c r="E66" s="172"/>
      <c r="F66" s="114"/>
      <c r="G66" s="114"/>
      <c r="H66" s="114"/>
      <c r="I66" s="114"/>
      <c r="J66" s="114"/>
      <c r="K66" s="114"/>
      <c r="L66" s="114"/>
      <c r="M66" s="114"/>
      <c r="N66" s="189"/>
    </row>
    <row r="67" spans="2:14" x14ac:dyDescent="0.3">
      <c r="B67" s="185"/>
      <c r="C67" s="33" t="s">
        <v>37</v>
      </c>
      <c r="D67" s="34">
        <f>IF(E12&lt;0,E12,"Invalid input")</f>
        <v>-16</v>
      </c>
      <c r="E67" s="172"/>
      <c r="F67" s="114"/>
      <c r="G67" s="114"/>
      <c r="H67" s="114"/>
      <c r="I67" s="114"/>
      <c r="J67" s="114"/>
      <c r="K67" s="114"/>
      <c r="L67" s="114"/>
      <c r="M67" s="114"/>
      <c r="N67" s="189"/>
    </row>
    <row r="68" spans="2:14" x14ac:dyDescent="0.3">
      <c r="B68" s="185"/>
      <c r="C68" s="33" t="s">
        <v>38</v>
      </c>
      <c r="D68" s="34">
        <f>IF((($F$5-D69)&lt;=D70),($F$5-D69),D70)</f>
        <v>6</v>
      </c>
      <c r="E68" s="172"/>
      <c r="F68" s="114"/>
      <c r="G68" s="114"/>
      <c r="H68" s="114"/>
      <c r="I68" s="114"/>
      <c r="J68" s="114"/>
      <c r="K68" s="114"/>
      <c r="L68" s="114"/>
      <c r="M68" s="114"/>
      <c r="N68" s="189"/>
    </row>
    <row r="69" spans="2:14" x14ac:dyDescent="0.3">
      <c r="B69" s="185"/>
      <c r="C69" s="33" t="s">
        <v>39</v>
      </c>
      <c r="D69" s="34">
        <f>IF(F12&lt;0,F12,"Invalid input")</f>
        <v>-22</v>
      </c>
      <c r="E69" s="172"/>
      <c r="F69" s="114"/>
      <c r="G69" s="114"/>
      <c r="H69" s="114"/>
      <c r="I69" s="114"/>
      <c r="J69" s="114"/>
      <c r="K69" s="114"/>
      <c r="L69" s="114"/>
      <c r="M69" s="114"/>
      <c r="N69" s="189"/>
    </row>
    <row r="70" spans="2:14" ht="15" thickBot="1" x14ac:dyDescent="0.35">
      <c r="B70" s="185"/>
      <c r="C70" s="35" t="s">
        <v>40</v>
      </c>
      <c r="D70" s="95">
        <f>IF(E12-F12&gt;0,(E12-F12),"Invalid input")</f>
        <v>6</v>
      </c>
      <c r="E70" s="172"/>
      <c r="F70" s="114"/>
      <c r="G70" s="114"/>
      <c r="H70" s="114"/>
      <c r="I70" s="114"/>
      <c r="J70" s="114"/>
      <c r="K70" s="114"/>
      <c r="L70" s="114"/>
      <c r="M70" s="114"/>
      <c r="N70" s="189"/>
    </row>
    <row r="71" spans="2:14" ht="10.8" customHeight="1" thickBot="1" x14ac:dyDescent="0.35">
      <c r="B71" s="185"/>
      <c r="C71" s="130"/>
      <c r="D71" s="130"/>
      <c r="E71" s="172"/>
      <c r="F71" s="114"/>
      <c r="G71" s="114"/>
      <c r="H71" s="114"/>
      <c r="I71" s="114"/>
      <c r="J71" s="114"/>
      <c r="K71" s="114"/>
      <c r="L71" s="114"/>
      <c r="M71" s="114"/>
      <c r="N71" s="189"/>
    </row>
    <row r="72" spans="2:14" x14ac:dyDescent="0.3">
      <c r="B72" s="185"/>
      <c r="C72" s="170" t="s">
        <v>44</v>
      </c>
      <c r="D72" s="171"/>
      <c r="E72" s="172"/>
      <c r="F72" s="114"/>
      <c r="G72" s="114"/>
      <c r="H72" s="114"/>
      <c r="I72" s="114"/>
      <c r="J72" s="114"/>
      <c r="K72" s="114"/>
      <c r="L72" s="114"/>
      <c r="M72" s="114"/>
      <c r="N72" s="189"/>
    </row>
    <row r="73" spans="2:14" x14ac:dyDescent="0.3">
      <c r="B73" s="185"/>
      <c r="C73" s="166" t="str">
        <f>D13</f>
        <v>Coarse Sand</v>
      </c>
      <c r="D73" s="167"/>
      <c r="E73" s="172"/>
      <c r="F73" s="114"/>
      <c r="G73" s="114"/>
      <c r="H73" s="114"/>
      <c r="I73" s="114"/>
      <c r="J73" s="114"/>
      <c r="K73" s="114"/>
      <c r="L73" s="114"/>
      <c r="M73" s="114"/>
      <c r="N73" s="189"/>
    </row>
    <row r="74" spans="2:14" x14ac:dyDescent="0.3">
      <c r="B74" s="185"/>
      <c r="C74" s="32" t="s">
        <v>30</v>
      </c>
      <c r="D74" s="34">
        <f>IF((((H13*(D84-D82))+(I13*D82)))&gt;0,(((H13*(D84-D82))+(I13*D82))),"Invalid input")</f>
        <v>57</v>
      </c>
      <c r="E74" s="172"/>
      <c r="F74" s="114"/>
      <c r="G74" s="114"/>
      <c r="H74" s="114"/>
      <c r="I74" s="114"/>
      <c r="J74" s="114"/>
      <c r="K74" s="114"/>
      <c r="L74" s="114"/>
      <c r="M74" s="114"/>
      <c r="N74" s="189"/>
    </row>
    <row r="75" spans="2:14" x14ac:dyDescent="0.3">
      <c r="B75" s="185"/>
      <c r="C75" s="78" t="s">
        <v>31</v>
      </c>
      <c r="D75" s="79">
        <f>D61+D74</f>
        <v>436.9</v>
      </c>
      <c r="E75" s="172"/>
      <c r="F75" s="114"/>
      <c r="G75" s="114"/>
      <c r="H75" s="114"/>
      <c r="I75" s="114"/>
      <c r="J75" s="114"/>
      <c r="K75" s="114"/>
      <c r="L75" s="114"/>
      <c r="M75" s="114"/>
      <c r="N75" s="189"/>
    </row>
    <row r="76" spans="2:14" x14ac:dyDescent="0.3">
      <c r="B76" s="185"/>
      <c r="C76" s="32" t="s">
        <v>32</v>
      </c>
      <c r="D76" s="34">
        <f>IF($F$6*D82&gt;=0,$F$6*D82,0)</f>
        <v>30</v>
      </c>
      <c r="E76" s="172"/>
      <c r="F76" s="114"/>
      <c r="G76" s="114"/>
      <c r="H76" s="114"/>
      <c r="I76" s="114"/>
      <c r="J76" s="114"/>
      <c r="K76" s="114"/>
      <c r="L76" s="114"/>
      <c r="M76" s="114"/>
      <c r="N76" s="189"/>
    </row>
    <row r="77" spans="2:14" x14ac:dyDescent="0.3">
      <c r="B77" s="185"/>
      <c r="C77" s="78" t="s">
        <v>33</v>
      </c>
      <c r="D77" s="79">
        <f>D63+D76</f>
        <v>249</v>
      </c>
      <c r="E77" s="172"/>
      <c r="F77" s="114"/>
      <c r="G77" s="114"/>
      <c r="H77" s="114"/>
      <c r="I77" s="114"/>
      <c r="J77" s="114"/>
      <c r="K77" s="114"/>
      <c r="L77" s="114"/>
      <c r="M77" s="114"/>
      <c r="N77" s="189"/>
    </row>
    <row r="78" spans="2:14" x14ac:dyDescent="0.3">
      <c r="B78" s="185"/>
      <c r="C78" s="32" t="s">
        <v>34</v>
      </c>
      <c r="D78" s="34">
        <f>IF((D74-D76)&gt;0,(D74-D76),"Invalid input")</f>
        <v>27</v>
      </c>
      <c r="E78" s="172"/>
      <c r="F78" s="114"/>
      <c r="G78" s="114"/>
      <c r="H78" s="114"/>
      <c r="I78" s="114"/>
      <c r="J78" s="114"/>
      <c r="K78" s="114"/>
      <c r="L78" s="114"/>
      <c r="M78" s="114"/>
      <c r="N78" s="189"/>
    </row>
    <row r="79" spans="2:14" x14ac:dyDescent="0.3">
      <c r="B79" s="185"/>
      <c r="C79" s="78" t="s">
        <v>35</v>
      </c>
      <c r="D79" s="79">
        <f>D65+D78</f>
        <v>187.9</v>
      </c>
      <c r="E79" s="172"/>
      <c r="F79" s="114"/>
      <c r="G79" s="114"/>
      <c r="H79" s="114"/>
      <c r="I79" s="114"/>
      <c r="J79" s="114"/>
      <c r="K79" s="114"/>
      <c r="L79" s="114"/>
      <c r="M79" s="114"/>
      <c r="N79" s="189"/>
    </row>
    <row r="80" spans="2:14" x14ac:dyDescent="0.3">
      <c r="B80" s="185"/>
      <c r="C80" s="179" t="s">
        <v>36</v>
      </c>
      <c r="D80" s="180"/>
      <c r="E80" s="172"/>
      <c r="F80" s="114"/>
      <c r="G80" s="114"/>
      <c r="H80" s="114"/>
      <c r="I80" s="114"/>
      <c r="J80" s="114"/>
      <c r="K80" s="114"/>
      <c r="L80" s="114"/>
      <c r="M80" s="114"/>
      <c r="N80" s="189"/>
    </row>
    <row r="81" spans="2:14" x14ac:dyDescent="0.3">
      <c r="B81" s="185"/>
      <c r="C81" s="33" t="s">
        <v>37</v>
      </c>
      <c r="D81" s="34">
        <f>IF(E13&lt;0,E13,"Invalid input")</f>
        <v>-22</v>
      </c>
      <c r="E81" s="172"/>
      <c r="F81" s="114"/>
      <c r="G81" s="114"/>
      <c r="H81" s="114"/>
      <c r="I81" s="114"/>
      <c r="J81" s="114"/>
      <c r="K81" s="114"/>
      <c r="L81" s="114"/>
      <c r="M81" s="114"/>
      <c r="N81" s="189"/>
    </row>
    <row r="82" spans="2:14" x14ac:dyDescent="0.3">
      <c r="B82" s="185"/>
      <c r="C82" s="33" t="s">
        <v>38</v>
      </c>
      <c r="D82" s="34">
        <f>IF((($F$5-D83)&lt;=D84),($F$5-D83),D84)</f>
        <v>3</v>
      </c>
      <c r="E82" s="172"/>
      <c r="F82" s="114"/>
      <c r="G82" s="114"/>
      <c r="H82" s="114"/>
      <c r="I82" s="114"/>
      <c r="J82" s="114"/>
      <c r="K82" s="114"/>
      <c r="L82" s="114"/>
      <c r="M82" s="114"/>
      <c r="N82" s="189"/>
    </row>
    <row r="83" spans="2:14" x14ac:dyDescent="0.3">
      <c r="B83" s="185"/>
      <c r="C83" s="33" t="s">
        <v>39</v>
      </c>
      <c r="D83" s="34">
        <f>IF(F13&lt;0,F13,"Invalid input")</f>
        <v>-25</v>
      </c>
      <c r="E83" s="172"/>
      <c r="F83" s="114"/>
      <c r="G83" s="114"/>
      <c r="H83" s="114"/>
      <c r="I83" s="114"/>
      <c r="J83" s="114"/>
      <c r="K83" s="114"/>
      <c r="L83" s="114"/>
      <c r="M83" s="114"/>
      <c r="N83" s="189"/>
    </row>
    <row r="84" spans="2:14" ht="15" thickBot="1" x14ac:dyDescent="0.35">
      <c r="B84" s="185"/>
      <c r="C84" s="35" t="s">
        <v>40</v>
      </c>
      <c r="D84" s="95">
        <f>IF(E13-F13&gt;0,(E13-F13),"Invalid input")</f>
        <v>3</v>
      </c>
      <c r="E84" s="172"/>
      <c r="F84" s="114"/>
      <c r="G84" s="114"/>
      <c r="H84" s="114"/>
      <c r="I84" s="114"/>
      <c r="J84" s="114"/>
      <c r="K84" s="114"/>
      <c r="L84" s="114"/>
      <c r="M84" s="114"/>
      <c r="N84" s="189"/>
    </row>
    <row r="85" spans="2:14" ht="10.8" customHeight="1" thickBot="1" x14ac:dyDescent="0.35">
      <c r="B85" s="186"/>
      <c r="C85" s="187"/>
      <c r="D85" s="187"/>
      <c r="E85" s="187"/>
      <c r="F85" s="187"/>
      <c r="G85" s="187"/>
      <c r="H85" s="187"/>
      <c r="I85" s="187"/>
      <c r="J85" s="187"/>
      <c r="K85" s="187"/>
      <c r="L85" s="187"/>
      <c r="M85" s="187"/>
      <c r="N85" s="188"/>
    </row>
    <row r="86" spans="2:14" ht="11.4" customHeight="1" x14ac:dyDescent="0.3"/>
  </sheetData>
  <sheetProtection algorithmName="SHA-512" hashValue="h03c9vNZWyDh76PZHU6cF6QSHyuszqKJspO80potfTFIY2TrNrdgYGLVeblUUTjtI2Rr8gLtoopqgtUPq4ELCA==" saltValue="LMre9veFQGdwgg0ZknOaxQ==" spinCount="100000" sheet="1" objects="1" scenarios="1"/>
  <mergeCells count="36">
    <mergeCell ref="C38:D38"/>
    <mergeCell ref="C72:D72"/>
    <mergeCell ref="C52:D52"/>
    <mergeCell ref="C59:D59"/>
    <mergeCell ref="C80:D80"/>
    <mergeCell ref="F47:M84"/>
    <mergeCell ref="C44:D44"/>
    <mergeCell ref="C45:D45"/>
    <mergeCell ref="B2:N2"/>
    <mergeCell ref="C4:E4"/>
    <mergeCell ref="C6:E6"/>
    <mergeCell ref="C8:D8"/>
    <mergeCell ref="C14:M14"/>
    <mergeCell ref="B4:B85"/>
    <mergeCell ref="C85:N85"/>
    <mergeCell ref="N4:N84"/>
    <mergeCell ref="B3:N3"/>
    <mergeCell ref="C7:M7"/>
    <mergeCell ref="F16:M16"/>
    <mergeCell ref="C31:D31"/>
    <mergeCell ref="H4:M6"/>
    <mergeCell ref="C17:D17"/>
    <mergeCell ref="C24:D24"/>
    <mergeCell ref="C30:D30"/>
    <mergeCell ref="E16:E84"/>
    <mergeCell ref="C15:M15"/>
    <mergeCell ref="C29:D29"/>
    <mergeCell ref="C43:D43"/>
    <mergeCell ref="C57:D57"/>
    <mergeCell ref="C71:D71"/>
    <mergeCell ref="F17:M46"/>
    <mergeCell ref="C16:D16"/>
    <mergeCell ref="C5:E5"/>
    <mergeCell ref="C58:D58"/>
    <mergeCell ref="C66:D66"/>
    <mergeCell ref="C73:D73"/>
  </mergeCells>
  <pageMargins left="0.70000000000000007" right="0.70000000000000007" top="0.75" bottom="0.75" header="0.30000000000000004" footer="0.30000000000000004"/>
  <pageSetup paperSize="9" scale="73" fitToWidth="0" fitToHeight="0" orientation="portrait" r:id="rId1"/>
  <rowBreaks count="1" manualBreakCount="1">
    <brk id="57" min="1" max="1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F197A4-8501-4F23-A3BA-90B92BB6F2DE}">
          <x14:formula1>
            <xm:f>Soil_charateristics!$D$6:$D$24</xm:f>
          </x14:formula1>
          <xm:sqref>D9:D13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B1:J25"/>
  <sheetViews>
    <sheetView view="pageBreakPreview" zoomScaleNormal="100" zoomScaleSheetLayoutView="100" workbookViewId="0">
      <selection activeCell="K7" sqref="K7"/>
    </sheetView>
  </sheetViews>
  <sheetFormatPr defaultRowHeight="14.4" x14ac:dyDescent="0.3"/>
  <cols>
    <col min="1" max="1" width="3.109375" customWidth="1"/>
    <col min="2" max="2" width="2.88671875" customWidth="1"/>
    <col min="3" max="3" width="20.21875" customWidth="1"/>
    <col min="4" max="4" width="15.6640625" customWidth="1"/>
    <col min="5" max="5" width="11.5546875" customWidth="1"/>
    <col min="6" max="6" width="3.21875" customWidth="1"/>
    <col min="7" max="7" width="21" customWidth="1"/>
    <col min="8" max="8" width="7.21875" customWidth="1"/>
    <col min="9" max="9" width="3.5546875" customWidth="1"/>
    <col min="10" max="10" width="5.109375" customWidth="1"/>
    <col min="11" max="11" width="8.88671875" customWidth="1"/>
  </cols>
  <sheetData>
    <row r="1" spans="2:10" ht="15" thickBot="1" x14ac:dyDescent="0.35"/>
    <row r="2" spans="2:10" ht="21.6" customHeight="1" thickBot="1" x14ac:dyDescent="0.4">
      <c r="B2" s="197" t="s">
        <v>54</v>
      </c>
      <c r="C2" s="197"/>
      <c r="D2" s="197"/>
      <c r="E2" s="197"/>
      <c r="F2" s="197"/>
      <c r="G2" s="197"/>
      <c r="H2" s="197"/>
      <c r="I2" s="197"/>
    </row>
    <row r="3" spans="2:10" ht="9.6" customHeight="1" thickBot="1" x14ac:dyDescent="0.35">
      <c r="B3" s="212"/>
      <c r="C3" s="213"/>
      <c r="D3" s="213"/>
      <c r="E3" s="213"/>
      <c r="F3" s="213"/>
      <c r="G3" s="213"/>
      <c r="H3" s="213"/>
      <c r="I3" s="214"/>
    </row>
    <row r="4" spans="2:10" x14ac:dyDescent="0.3">
      <c r="B4" s="207"/>
      <c r="C4" s="209" t="s">
        <v>107</v>
      </c>
      <c r="D4" s="198"/>
      <c r="E4" s="199"/>
      <c r="F4" s="206"/>
      <c r="G4" s="204" t="s">
        <v>45</v>
      </c>
      <c r="H4" s="205"/>
      <c r="I4" s="208"/>
    </row>
    <row r="5" spans="2:10" ht="31.8" customHeight="1" x14ac:dyDescent="0.3">
      <c r="B5" s="207"/>
      <c r="C5" s="210"/>
      <c r="D5" s="200"/>
      <c r="E5" s="201"/>
      <c r="F5" s="206"/>
      <c r="G5" s="92" t="s">
        <v>81</v>
      </c>
      <c r="H5" s="94">
        <f>IF(D14&gt;0,1.4,0)</f>
        <v>0</v>
      </c>
      <c r="I5" s="208"/>
    </row>
    <row r="6" spans="2:10" ht="15" customHeight="1" x14ac:dyDescent="0.3">
      <c r="B6" s="207"/>
      <c r="C6" s="210"/>
      <c r="D6" s="200"/>
      <c r="E6" s="201"/>
      <c r="F6" s="206"/>
      <c r="G6" s="224" t="s">
        <v>108</v>
      </c>
      <c r="H6" s="226">
        <f>IF(D14-H5&gt;0,D14-H5,0)</f>
        <v>0</v>
      </c>
      <c r="I6" s="208"/>
    </row>
    <row r="7" spans="2:10" ht="15" thickBot="1" x14ac:dyDescent="0.35">
      <c r="B7" s="207"/>
      <c r="C7" s="210"/>
      <c r="D7" s="200"/>
      <c r="E7" s="201"/>
      <c r="F7" s="206"/>
      <c r="G7" s="225"/>
      <c r="H7" s="227"/>
      <c r="I7" s="208"/>
    </row>
    <row r="8" spans="2:10" ht="15" thickBot="1" x14ac:dyDescent="0.35">
      <c r="B8" s="207"/>
      <c r="C8" s="211"/>
      <c r="D8" s="202"/>
      <c r="E8" s="203"/>
      <c r="F8" s="206"/>
      <c r="G8" s="231"/>
      <c r="H8" s="231"/>
      <c r="I8" s="208"/>
      <c r="J8" s="3"/>
    </row>
    <row r="9" spans="2:10" x14ac:dyDescent="0.3">
      <c r="B9" s="207"/>
      <c r="C9" s="229"/>
      <c r="D9" s="229"/>
      <c r="E9" s="229"/>
      <c r="F9" s="206"/>
      <c r="G9" s="231"/>
      <c r="H9" s="231"/>
      <c r="I9" s="208"/>
      <c r="J9" s="1"/>
    </row>
    <row r="10" spans="2:10" x14ac:dyDescent="0.3">
      <c r="B10" s="207"/>
      <c r="C10" s="93" t="s">
        <v>49</v>
      </c>
      <c r="D10" s="232">
        <v>0</v>
      </c>
      <c r="E10" s="232"/>
      <c r="F10" s="206"/>
      <c r="G10" s="231"/>
      <c r="H10" s="231"/>
      <c r="I10" s="208"/>
      <c r="J10" s="2"/>
    </row>
    <row r="11" spans="2:10" x14ac:dyDescent="0.3">
      <c r="B11" s="207"/>
      <c r="C11" s="228"/>
      <c r="D11" s="228"/>
      <c r="E11" s="228"/>
      <c r="F11" s="206"/>
      <c r="G11" s="231"/>
      <c r="H11" s="231"/>
      <c r="I11" s="208"/>
      <c r="J11" s="1"/>
    </row>
    <row r="12" spans="2:10" x14ac:dyDescent="0.3">
      <c r="B12" s="207"/>
      <c r="C12" s="6" t="s">
        <v>80</v>
      </c>
      <c r="D12" s="232">
        <f>IF($D$10=1,"2800","0")+IF($D$10=2,"2330","0")+IF($D$10=3,"2470","0")+IF($D$10=4,"1990","0")+IF($D$10=5,"1505","0")+IF($D$10=6,"1820","0")</f>
        <v>0</v>
      </c>
      <c r="E12" s="232"/>
      <c r="F12" s="206"/>
      <c r="G12" s="231"/>
      <c r="H12" s="231"/>
      <c r="I12" s="208"/>
      <c r="J12" s="1"/>
    </row>
    <row r="13" spans="2:10" x14ac:dyDescent="0.3">
      <c r="B13" s="207"/>
      <c r="C13" s="8" t="s">
        <v>104</v>
      </c>
      <c r="D13" s="232">
        <f>D12/100</f>
        <v>0</v>
      </c>
      <c r="E13" s="232"/>
      <c r="F13" s="206"/>
      <c r="G13" s="231"/>
      <c r="H13" s="231"/>
      <c r="I13" s="208"/>
      <c r="J13" s="1"/>
    </row>
    <row r="14" spans="2:10" x14ac:dyDescent="0.3">
      <c r="B14" s="207"/>
      <c r="C14" s="6" t="s">
        <v>82</v>
      </c>
      <c r="D14" s="232">
        <f>IF($D$10=1,"1,4","0")+IF($D$10=2,"2,1","0")+IF($D$10=3,"1,7","0")+IF($D$10=4,"1,7","0")+IF($D$10=5,"1,4","0")+IF($D$10=6,"2,3","0")</f>
        <v>0</v>
      </c>
      <c r="E14" s="232"/>
      <c r="F14" s="206"/>
      <c r="G14" s="231"/>
      <c r="H14" s="231"/>
      <c r="I14" s="208"/>
    </row>
    <row r="15" spans="2:10" ht="13.2" customHeight="1" thickBot="1" x14ac:dyDescent="0.35">
      <c r="B15" s="207"/>
      <c r="C15" s="230"/>
      <c r="D15" s="230"/>
      <c r="E15" s="230"/>
      <c r="F15" s="230"/>
      <c r="G15" s="230"/>
      <c r="H15" s="230"/>
      <c r="I15" s="208"/>
    </row>
    <row r="16" spans="2:10" x14ac:dyDescent="0.3">
      <c r="B16" s="207"/>
      <c r="C16" s="221" t="s">
        <v>102</v>
      </c>
      <c r="D16" s="222"/>
      <c r="E16" s="222"/>
      <c r="F16" s="222"/>
      <c r="G16" s="222"/>
      <c r="H16" s="223"/>
      <c r="I16" s="208"/>
    </row>
    <row r="17" spans="2:9" x14ac:dyDescent="0.3">
      <c r="B17" s="207"/>
      <c r="C17" s="215" t="e">
        <f>"2_Pictures!"&amp;ADDRESS($D$10,1)</f>
        <v>#VALUE!</v>
      </c>
      <c r="D17" s="216"/>
      <c r="E17" s="216"/>
      <c r="F17" s="216"/>
      <c r="G17" s="216"/>
      <c r="H17" s="217"/>
      <c r="I17" s="208"/>
    </row>
    <row r="18" spans="2:9" x14ac:dyDescent="0.3">
      <c r="B18" s="207"/>
      <c r="C18" s="215"/>
      <c r="D18" s="216"/>
      <c r="E18" s="216"/>
      <c r="F18" s="216"/>
      <c r="G18" s="216"/>
      <c r="H18" s="217"/>
      <c r="I18" s="208"/>
    </row>
    <row r="19" spans="2:9" x14ac:dyDescent="0.3">
      <c r="B19" s="207"/>
      <c r="C19" s="215"/>
      <c r="D19" s="216"/>
      <c r="E19" s="216"/>
      <c r="F19" s="216"/>
      <c r="G19" s="216"/>
      <c r="H19" s="217"/>
      <c r="I19" s="208"/>
    </row>
    <row r="20" spans="2:9" x14ac:dyDescent="0.3">
      <c r="B20" s="207"/>
      <c r="C20" s="215"/>
      <c r="D20" s="216"/>
      <c r="E20" s="216"/>
      <c r="F20" s="216"/>
      <c r="G20" s="216"/>
      <c r="H20" s="217"/>
      <c r="I20" s="208"/>
    </row>
    <row r="21" spans="2:9" x14ac:dyDescent="0.3">
      <c r="B21" s="207"/>
      <c r="C21" s="215"/>
      <c r="D21" s="216"/>
      <c r="E21" s="216"/>
      <c r="F21" s="216"/>
      <c r="G21" s="216"/>
      <c r="H21" s="217"/>
      <c r="I21" s="208"/>
    </row>
    <row r="22" spans="2:9" x14ac:dyDescent="0.3">
      <c r="B22" s="207"/>
      <c r="C22" s="215"/>
      <c r="D22" s="216"/>
      <c r="E22" s="216"/>
      <c r="F22" s="216"/>
      <c r="G22" s="216"/>
      <c r="H22" s="217"/>
      <c r="I22" s="208"/>
    </row>
    <row r="23" spans="2:9" x14ac:dyDescent="0.3">
      <c r="B23" s="207"/>
      <c r="C23" s="215"/>
      <c r="D23" s="216"/>
      <c r="E23" s="216"/>
      <c r="F23" s="216"/>
      <c r="G23" s="216"/>
      <c r="H23" s="217"/>
      <c r="I23" s="208"/>
    </row>
    <row r="24" spans="2:9" ht="72" customHeight="1" thickBot="1" x14ac:dyDescent="0.35">
      <c r="B24" s="207"/>
      <c r="C24" s="218"/>
      <c r="D24" s="219"/>
      <c r="E24" s="219"/>
      <c r="F24" s="219"/>
      <c r="G24" s="219"/>
      <c r="H24" s="220"/>
      <c r="I24" s="208"/>
    </row>
    <row r="25" spans="2:9" x14ac:dyDescent="0.3">
      <c r="B25" s="207"/>
      <c r="C25" s="206"/>
      <c r="D25" s="206"/>
      <c r="E25" s="206"/>
      <c r="F25" s="206"/>
      <c r="G25" s="206"/>
      <c r="H25" s="206"/>
      <c r="I25" s="208"/>
    </row>
  </sheetData>
  <sheetProtection algorithmName="SHA-512" hashValue="PvAZdMGDZXzXInzB6O7aXDBzIcmdLN7Xx2ROVccPhz1s3j9Nfs+NKxp4XkKCsQHO/xyERJcdNEKfDX6kAZ5xdQ==" saltValue="TNCTth7X5824nR+7JKNefg==" spinCount="100000" sheet="1" objects="1" scenarios="1"/>
  <mergeCells count="21">
    <mergeCell ref="G8:H14"/>
    <mergeCell ref="D10:E10"/>
    <mergeCell ref="D12:E12"/>
    <mergeCell ref="D13:E13"/>
    <mergeCell ref="D14:E14"/>
    <mergeCell ref="B2:I2"/>
    <mergeCell ref="D4:E8"/>
    <mergeCell ref="G4:H4"/>
    <mergeCell ref="C25:H25"/>
    <mergeCell ref="B4:B25"/>
    <mergeCell ref="I4:I25"/>
    <mergeCell ref="C4:C8"/>
    <mergeCell ref="B3:I3"/>
    <mergeCell ref="C17:H24"/>
    <mergeCell ref="C16:H16"/>
    <mergeCell ref="G6:G7"/>
    <mergeCell ref="H6:H7"/>
    <mergeCell ref="C11:E11"/>
    <mergeCell ref="C9:E9"/>
    <mergeCell ref="C15:H15"/>
    <mergeCell ref="F4:F14"/>
  </mergeCells>
  <dataValidations count="1">
    <dataValidation type="list" allowBlank="1" showInputMessage="1" showErrorMessage="1" sqref="G8" xr:uid="{C57BEEA8-378F-4C49-ADCE-E5C233C5A29D}">
      <formula1>Afbeeldingen_solutions</formula1>
    </dataValidation>
  </dataValidations>
  <pageMargins left="0.70000000000000007" right="0.70000000000000007" top="0.75" bottom="0.75" header="0.30000000000000004" footer="0.3000000000000000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nchor moveWithCells="1">
                  <from>
                    <xdr:col>3</xdr:col>
                    <xdr:colOff>30480</xdr:colOff>
                    <xdr:row>3</xdr:row>
                    <xdr:rowOff>0</xdr:rowOff>
                  </from>
                  <to>
                    <xdr:col>4</xdr:col>
                    <xdr:colOff>601980</xdr:colOff>
                    <xdr:row>4</xdr:row>
                    <xdr:rowOff>152400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3</xdr:col>
                    <xdr:colOff>30480</xdr:colOff>
                    <xdr:row>4</xdr:row>
                    <xdr:rowOff>53340</xdr:rowOff>
                  </from>
                  <to>
                    <xdr:col>5</xdr:col>
                    <xdr:colOff>0</xdr:colOff>
                    <xdr:row>4</xdr:row>
                    <xdr:rowOff>251460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3</xdr:col>
                    <xdr:colOff>30480</xdr:colOff>
                    <xdr:row>4</xdr:row>
                    <xdr:rowOff>243840</xdr:rowOff>
                  </from>
                  <to>
                    <xdr:col>5</xdr:col>
                    <xdr:colOff>0</xdr:colOff>
                    <xdr:row>4</xdr:row>
                    <xdr:rowOff>373380</xdr:rowOff>
                  </to>
                </anchor>
              </controlPr>
            </control>
          </mc:Choice>
        </mc:AlternateContent>
        <mc:AlternateContent xmlns:mc="http://schemas.openxmlformats.org/markup-compatibility/2006">
          <mc:Choice Requires="x14">
            <control shapeId="1028" r:id="rId7" name="Option Button 4">
              <controlPr locked="0" defaultSize="0" autoFill="0" autoLine="0" autoPict="0">
                <anchor moveWithCells="1">
                  <from>
                    <xdr:col>3</xdr:col>
                    <xdr:colOff>30480</xdr:colOff>
                    <xdr:row>4</xdr:row>
                    <xdr:rowOff>373380</xdr:rowOff>
                  </from>
                  <to>
                    <xdr:col>5</xdr:col>
                    <xdr:colOff>0</xdr:colOff>
                    <xdr:row>5</xdr:row>
                    <xdr:rowOff>144780</xdr:rowOff>
                  </to>
                </anchor>
              </controlPr>
            </control>
          </mc:Choice>
        </mc:AlternateContent>
        <mc:AlternateContent xmlns:mc="http://schemas.openxmlformats.org/markup-compatibility/2006">
          <mc:Choice Requires="x14">
            <control shapeId="1029" r:id="rId8" name="Option Button 5">
              <controlPr locked="0" defaultSize="0" autoFill="0" autoLine="0" autoPict="0">
                <anchor moveWithCells="1">
                  <from>
                    <xdr:col>3</xdr:col>
                    <xdr:colOff>22860</xdr:colOff>
                    <xdr:row>5</xdr:row>
                    <xdr:rowOff>99060</xdr:rowOff>
                  </from>
                  <to>
                    <xdr:col>4</xdr:col>
                    <xdr:colOff>784860</xdr:colOff>
                    <xdr:row>6</xdr:row>
                    <xdr:rowOff>144780</xdr:rowOff>
                  </to>
                </anchor>
              </controlPr>
            </control>
          </mc:Choice>
        </mc:AlternateContent>
        <mc:AlternateContent xmlns:mc="http://schemas.openxmlformats.org/markup-compatibility/2006">
          <mc:Choice Requires="x14">
            <control shapeId="1030" r:id="rId9" name="Option Button 6">
              <controlPr locked="0" defaultSize="0" autoFill="0" autoLine="0" autoPict="0">
                <anchor moveWithCells="1">
                  <from>
                    <xdr:col>3</xdr:col>
                    <xdr:colOff>22860</xdr:colOff>
                    <xdr:row>6</xdr:row>
                    <xdr:rowOff>53340</xdr:rowOff>
                  </from>
                  <to>
                    <xdr:col>4</xdr:col>
                    <xdr:colOff>670560</xdr:colOff>
                    <xdr:row>7</xdr:row>
                    <xdr:rowOff>175260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E961-249D-4527-BA88-1AF9EAC3B26F}">
  <dimension ref="B1:E6"/>
  <sheetViews>
    <sheetView zoomScale="40" zoomScaleNormal="40" workbookViewId="0">
      <selection activeCell="E2" sqref="E2"/>
    </sheetView>
  </sheetViews>
  <sheetFormatPr defaultRowHeight="14.4" x14ac:dyDescent="0.3"/>
  <cols>
    <col min="1" max="1" width="89.33203125" customWidth="1"/>
    <col min="2" max="2" width="10.44140625" bestFit="1" customWidth="1"/>
  </cols>
  <sheetData>
    <row r="1" spans="2:5" ht="151.80000000000001" customHeight="1" x14ac:dyDescent="0.3">
      <c r="B1" t="s">
        <v>96</v>
      </c>
      <c r="E1" t="s">
        <v>103</v>
      </c>
    </row>
    <row r="2" spans="2:5" ht="151.80000000000001" customHeight="1" x14ac:dyDescent="0.3">
      <c r="B2" t="s">
        <v>98</v>
      </c>
    </row>
    <row r="3" spans="2:5" ht="151.80000000000001" customHeight="1" x14ac:dyDescent="0.3">
      <c r="B3" t="s">
        <v>97</v>
      </c>
    </row>
    <row r="4" spans="2:5" ht="151.80000000000001" customHeight="1" x14ac:dyDescent="0.3">
      <c r="B4" t="s">
        <v>99</v>
      </c>
    </row>
    <row r="5" spans="2:5" ht="151.80000000000001" customHeight="1" x14ac:dyDescent="0.3">
      <c r="B5" t="s">
        <v>100</v>
      </c>
    </row>
    <row r="6" spans="2:5" ht="151.80000000000001" customHeight="1" x14ac:dyDescent="0.3">
      <c r="B6" t="s">
        <v>101</v>
      </c>
    </row>
  </sheetData>
  <sheetProtection algorithmName="SHA-512" hashValue="8P09YSHB2ADeNqH82UL7BxoDtvnYv7BUOD3KPOkGE+kuT6mUxtj0+BclNvgmmeO4DrUDTT9fRe92IzCfccTgzQ==" saltValue="mNnrZhu4xvn9sNzP5NafVQ=="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B1:O50"/>
  <sheetViews>
    <sheetView view="pageBreakPreview" zoomScale="80" zoomScaleNormal="100" zoomScaleSheetLayoutView="80" workbookViewId="0">
      <selection activeCell="L13" sqref="L13"/>
    </sheetView>
  </sheetViews>
  <sheetFormatPr defaultRowHeight="14.4" x14ac:dyDescent="0.3"/>
  <cols>
    <col min="1" max="1" width="4.5546875" customWidth="1"/>
    <col min="2" max="2" width="2.77734375" customWidth="1"/>
    <col min="3" max="3" width="16.44140625" customWidth="1"/>
    <col min="4" max="4" width="13.88671875" bestFit="1" customWidth="1"/>
    <col min="5" max="5" width="15.33203125" customWidth="1"/>
    <col min="6" max="6" width="18" bestFit="1" customWidth="1"/>
    <col min="7" max="7" width="8.33203125" customWidth="1"/>
    <col min="8" max="11" width="5.88671875" customWidth="1"/>
    <col min="12" max="12" width="10.5546875" bestFit="1" customWidth="1"/>
    <col min="13" max="13" width="11.6640625" customWidth="1"/>
    <col min="14" max="14" width="3.33203125" customWidth="1"/>
    <col min="15" max="15" width="5.109375" customWidth="1"/>
    <col min="16" max="16" width="8.88671875" customWidth="1"/>
  </cols>
  <sheetData>
    <row r="1" spans="2:14" ht="15" thickBot="1" x14ac:dyDescent="0.35"/>
    <row r="2" spans="2:14" ht="21.6" customHeight="1" thickBot="1" x14ac:dyDescent="0.4">
      <c r="B2" s="197" t="s">
        <v>46</v>
      </c>
      <c r="C2" s="197"/>
      <c r="D2" s="197"/>
      <c r="E2" s="197"/>
      <c r="F2" s="197"/>
      <c r="G2" s="197"/>
      <c r="H2" s="197"/>
      <c r="I2" s="197"/>
      <c r="J2" s="197"/>
      <c r="K2" s="197"/>
      <c r="L2" s="197"/>
      <c r="M2" s="197"/>
      <c r="N2" s="197"/>
    </row>
    <row r="3" spans="2:14" ht="8.4" customHeight="1" x14ac:dyDescent="0.35">
      <c r="B3" s="233"/>
      <c r="C3" s="234"/>
      <c r="D3" s="234"/>
      <c r="E3" s="234"/>
      <c r="F3" s="234"/>
      <c r="G3" s="234"/>
      <c r="H3" s="234"/>
      <c r="I3" s="234"/>
      <c r="J3" s="234"/>
      <c r="K3" s="234"/>
      <c r="L3" s="234"/>
      <c r="M3" s="234"/>
      <c r="N3" s="235"/>
    </row>
    <row r="4" spans="2:14" ht="14.4" customHeight="1" x14ac:dyDescent="0.3">
      <c r="B4" s="233"/>
      <c r="C4" s="236" t="s">
        <v>52</v>
      </c>
      <c r="D4" s="236"/>
      <c r="E4" s="250"/>
      <c r="F4" s="251"/>
      <c r="G4" s="251"/>
      <c r="H4" s="251"/>
      <c r="I4" s="251"/>
      <c r="J4" s="251"/>
      <c r="K4" s="251"/>
      <c r="L4" s="251"/>
      <c r="M4" s="251"/>
      <c r="N4" s="235"/>
    </row>
    <row r="5" spans="2:14" x14ac:dyDescent="0.3">
      <c r="B5" s="233"/>
      <c r="C5" s="6" t="s">
        <v>48</v>
      </c>
      <c r="D5" s="7">
        <f>'2__Load new road construction'!D10</f>
        <v>0</v>
      </c>
      <c r="E5" s="250"/>
      <c r="F5" s="251"/>
      <c r="G5" s="251"/>
      <c r="H5" s="251"/>
      <c r="I5" s="251"/>
      <c r="J5" s="251"/>
      <c r="K5" s="251"/>
      <c r="L5" s="251"/>
      <c r="M5" s="251"/>
      <c r="N5" s="235"/>
    </row>
    <row r="6" spans="2:14" ht="28.8" x14ac:dyDescent="0.3">
      <c r="B6" s="233"/>
      <c r="C6" s="48" t="s">
        <v>85</v>
      </c>
      <c r="D6" s="5">
        <f>'2__Load new road construction'!H5</f>
        <v>0</v>
      </c>
      <c r="E6" s="250"/>
      <c r="F6" s="251"/>
      <c r="G6" s="251"/>
      <c r="H6" s="251"/>
      <c r="I6" s="251"/>
      <c r="J6" s="251"/>
      <c r="K6" s="251"/>
      <c r="L6" s="251"/>
      <c r="M6" s="251"/>
      <c r="N6" s="235"/>
    </row>
    <row r="7" spans="2:14" x14ac:dyDescent="0.3">
      <c r="B7" s="233"/>
      <c r="C7" s="8" t="s">
        <v>51</v>
      </c>
      <c r="D7" s="5">
        <f>'2__Load new road construction'!D13</f>
        <v>0</v>
      </c>
      <c r="E7" s="250"/>
      <c r="F7" s="251"/>
      <c r="G7" s="251"/>
      <c r="H7" s="251"/>
      <c r="I7" s="251"/>
      <c r="J7" s="251"/>
      <c r="K7" s="251"/>
      <c r="L7" s="251"/>
      <c r="M7" s="251"/>
      <c r="N7" s="235"/>
    </row>
    <row r="8" spans="2:14" ht="11.4" customHeight="1" x14ac:dyDescent="0.3">
      <c r="B8" s="233"/>
      <c r="C8" s="239"/>
      <c r="D8" s="239"/>
      <c r="E8" s="239"/>
      <c r="F8" s="239"/>
      <c r="G8" s="239"/>
      <c r="H8" s="239"/>
      <c r="I8" s="239"/>
      <c r="J8" s="239"/>
      <c r="K8" s="239"/>
      <c r="L8" s="239"/>
      <c r="M8" s="239"/>
      <c r="N8" s="235"/>
    </row>
    <row r="9" spans="2:14" ht="28.2" customHeight="1" x14ac:dyDescent="0.3">
      <c r="B9" s="233"/>
      <c r="C9" s="10" t="s">
        <v>53</v>
      </c>
      <c r="D9" s="14">
        <v>3650</v>
      </c>
      <c r="E9" s="252"/>
      <c r="F9" s="252"/>
      <c r="G9" s="252"/>
      <c r="H9" s="252"/>
      <c r="I9" s="252"/>
      <c r="J9" s="252"/>
      <c r="K9" s="252"/>
      <c r="L9" s="252"/>
      <c r="M9" s="252"/>
      <c r="N9" s="235"/>
    </row>
    <row r="10" spans="2:14" ht="12.6" customHeight="1" x14ac:dyDescent="0.3">
      <c r="B10" s="233"/>
      <c r="C10" s="239"/>
      <c r="D10" s="239"/>
      <c r="E10" s="239"/>
      <c r="F10" s="239"/>
      <c r="G10" s="239"/>
      <c r="H10" s="239"/>
      <c r="I10" s="239"/>
      <c r="J10" s="239"/>
      <c r="K10" s="239"/>
      <c r="L10" s="239"/>
      <c r="M10" s="239"/>
      <c r="N10" s="235"/>
    </row>
    <row r="11" spans="2:14" x14ac:dyDescent="0.3">
      <c r="B11" s="233"/>
      <c r="C11" s="238" t="s">
        <v>75</v>
      </c>
      <c r="D11" s="238"/>
      <c r="E11" s="238"/>
      <c r="F11" s="238"/>
      <c r="G11" s="238"/>
      <c r="H11" s="238"/>
      <c r="I11" s="238"/>
      <c r="J11" s="238"/>
      <c r="K11" s="238"/>
      <c r="L11" s="238"/>
      <c r="M11" s="238"/>
      <c r="N11" s="235"/>
    </row>
    <row r="12" spans="2:14" ht="28.8" x14ac:dyDescent="0.3">
      <c r="B12" s="233"/>
      <c r="C12" s="60" t="s">
        <v>47</v>
      </c>
      <c r="D12" s="60" t="s">
        <v>40</v>
      </c>
      <c r="E12" s="80" t="s">
        <v>73</v>
      </c>
      <c r="F12" s="81" t="s">
        <v>83</v>
      </c>
      <c r="G12" s="82" t="s">
        <v>79</v>
      </c>
      <c r="H12" s="83" t="s">
        <v>4</v>
      </c>
      <c r="I12" s="83" t="s">
        <v>5</v>
      </c>
      <c r="J12" s="84" t="s">
        <v>6</v>
      </c>
      <c r="K12" s="84" t="s">
        <v>7</v>
      </c>
      <c r="L12" s="84" t="s">
        <v>50</v>
      </c>
      <c r="M12" s="82" t="s">
        <v>94</v>
      </c>
      <c r="N12" s="235"/>
    </row>
    <row r="13" spans="2:14" x14ac:dyDescent="0.3">
      <c r="B13" s="233"/>
      <c r="C13" s="6" t="str">
        <f>'1__Current_Ground_Structure'!D9</f>
        <v>Clay weak, silty  </v>
      </c>
      <c r="D13" s="43">
        <f>'1__Current_Ground_Structure'!D28</f>
        <v>6</v>
      </c>
      <c r="E13" s="36">
        <f>'1__Current_Ground_Structure'!G9</f>
        <v>0</v>
      </c>
      <c r="F13" s="36">
        <f>'1__Current_Ground_Structure'!D23</f>
        <v>24.900000000000006</v>
      </c>
      <c r="G13" s="36">
        <f>F13/2</f>
        <v>12.450000000000003</v>
      </c>
      <c r="H13" s="37">
        <f>'1__Current_Ground_Structure'!J9</f>
        <v>50</v>
      </c>
      <c r="I13" s="37">
        <f>'1__Current_Ground_Structure'!K9</f>
        <v>340</v>
      </c>
      <c r="J13" s="37">
        <f>'1__Current_Ground_Structure'!L9</f>
        <v>30</v>
      </c>
      <c r="K13" s="37">
        <f>'1__Current_Ground_Structure'!M9</f>
        <v>270</v>
      </c>
      <c r="L13" s="85">
        <f>IF($D$7&gt;E13,D13*(((1/H13)+((1/I13)*(LOG($D$9/1))))*LN((G13+E13)/G13))+D13*(((1/J13)+((1/K13)*(LOG($D$9/1))))*(LN((G13+$D$7)/(G13+E13)))),D13*(((1/H13)+((1/I13)*(LOG($D$9/1))))*(LN((G13+$D$7)/G13))))</f>
        <v>0</v>
      </c>
      <c r="M13" s="86">
        <f>L13+M14</f>
        <v>0</v>
      </c>
      <c r="N13" s="235"/>
    </row>
    <row r="14" spans="2:14" x14ac:dyDescent="0.3">
      <c r="B14" s="233"/>
      <c r="C14" s="6" t="str">
        <f>'1__Current_Ground_Structure'!D10</f>
        <v>Clay , silty</v>
      </c>
      <c r="D14" s="44">
        <f>'1__Current_Ground_Structure'!D42</f>
        <v>6</v>
      </c>
      <c r="E14" s="36">
        <f>'1__Current_Ground_Structure'!G10</f>
        <v>0</v>
      </c>
      <c r="F14" s="39">
        <f>'1__Current_Ground_Structure'!D37</f>
        <v>66.900000000000006</v>
      </c>
      <c r="G14" s="36">
        <f>((F14-F13)/2)+F13</f>
        <v>45.900000000000006</v>
      </c>
      <c r="H14" s="40">
        <f>'1__Current_Ground_Structure'!J10</f>
        <v>59</v>
      </c>
      <c r="I14" s="40">
        <f>'1__Current_Ground_Structure'!K10</f>
        <v>240</v>
      </c>
      <c r="J14" s="40">
        <f>'1__Current_Ground_Structure'!L10</f>
        <v>12</v>
      </c>
      <c r="K14" s="40">
        <f>'1__Current_Ground_Structure'!M10</f>
        <v>110</v>
      </c>
      <c r="L14" s="85">
        <f>IF($D$7&gt;E14,D14*(((1/H14)+((1/I14)*(LOG($D$9/1))))*LN((G14+E14)/G14))+D14*(((1/J14)+((1/K14)*(LOG($D$9/1))))*(LN((G14+$D$7)/(G14+E14)))),D14*(((1/H14)+((1/I14)*(LOG($D$9/1))))*(LN((G14+$D$7)/G14))))</f>
        <v>0</v>
      </c>
      <c r="M14" s="86">
        <f>L14+M15</f>
        <v>0</v>
      </c>
      <c r="N14" s="235"/>
    </row>
    <row r="15" spans="2:14" x14ac:dyDescent="0.3">
      <c r="B15" s="233"/>
      <c r="C15" s="6" t="str">
        <f>'1__Current_Ground_Structure'!D11</f>
        <v>Loose Sand, silty</v>
      </c>
      <c r="D15" s="44">
        <f>'1__Current_Ground_Structure'!D56</f>
        <v>4</v>
      </c>
      <c r="E15" s="36">
        <f>'1__Current_Ground_Structure'!G11</f>
        <v>0</v>
      </c>
      <c r="F15" s="39">
        <f>'1__Current_Ground_Structure'!D51</f>
        <v>106.9</v>
      </c>
      <c r="G15" s="36">
        <f>((F15-F14)/2)+F14</f>
        <v>86.9</v>
      </c>
      <c r="H15" s="40">
        <f>'1__Current_Ground_Structure'!J11</f>
        <v>300</v>
      </c>
      <c r="I15" s="76">
        <f>'1__Current_Ground_Structure'!K11</f>
        <v>1000000000</v>
      </c>
      <c r="J15" s="74">
        <f>'1__Current_Ground_Structure'!L11</f>
        <v>550</v>
      </c>
      <c r="K15" s="76">
        <f>'1__Current_Ground_Structure'!M11</f>
        <v>1000000000</v>
      </c>
      <c r="L15" s="85">
        <f>IF($D$7&gt;E15,D15*(((1/H15)+((1/I15)*(LOG($D$9/1))))*LN((G15+E15)/G15))+D15*(((1/J15)+((1/K15)*(LOG($D$9/1))))*(LN((G15+$D$7)/(G15+E15)))),D15*(((1/H15)+((1/I15)*(LOG($D$9/1))))*(LN((G15+$D$7)/G15))))</f>
        <v>0</v>
      </c>
      <c r="M15" s="86">
        <f>L15+M16</f>
        <v>0</v>
      </c>
      <c r="N15" s="235"/>
    </row>
    <row r="16" spans="2:14" x14ac:dyDescent="0.3">
      <c r="B16" s="233"/>
      <c r="C16" s="6" t="str">
        <f>'1__Current_Ground_Structure'!D12</f>
        <v>Medium Sand</v>
      </c>
      <c r="D16" s="44">
        <f>'1__Current_Ground_Structure'!D70</f>
        <v>6</v>
      </c>
      <c r="E16" s="36">
        <f>'1__Current_Ground_Structure'!G12</f>
        <v>0</v>
      </c>
      <c r="F16" s="39">
        <f>'1__Current_Ground_Structure'!D65</f>
        <v>160.9</v>
      </c>
      <c r="G16" s="36">
        <f>((F16-F15)/2)+F15</f>
        <v>133.9</v>
      </c>
      <c r="H16" s="40">
        <f>'1__Current_Ground_Structure'!J12</f>
        <v>600</v>
      </c>
      <c r="I16" s="76">
        <f>'1__Current_Ground_Structure'!K12</f>
        <v>1000000000</v>
      </c>
      <c r="J16" s="74">
        <f>'1__Current_Ground_Structure'!L12</f>
        <v>200</v>
      </c>
      <c r="K16" s="76">
        <f>'1__Current_Ground_Structure'!M12</f>
        <v>1000000000</v>
      </c>
      <c r="L16" s="85">
        <f>IF($D$7&gt;E16,D16*(((1/H16)+((1/I16)*(LOG($D$9/1))))*LN((G16+E16)/G16))+D16*(((1/J16)+((1/K16)*(LOG($D$9/1))))*(LN((G16+$D$7)/(G16+E16)))),D16*(((1/H16)+((1/I16)*(LOG($D$9/1))))*(LN((G16+$D$7)/G16))))</f>
        <v>0</v>
      </c>
      <c r="M16" s="86">
        <f>L16+M17</f>
        <v>0</v>
      </c>
      <c r="N16" s="235"/>
    </row>
    <row r="17" spans="2:15" ht="15" thickBot="1" x14ac:dyDescent="0.35">
      <c r="B17" s="233"/>
      <c r="C17" s="88" t="str">
        <f>'1__Current_Ground_Structure'!D13</f>
        <v>Coarse Sand</v>
      </c>
      <c r="D17" s="45">
        <f>'1__Current_Ground_Structure'!D84</f>
        <v>3</v>
      </c>
      <c r="E17" s="38">
        <f>'1__Current_Ground_Structure'!G13</f>
        <v>0</v>
      </c>
      <c r="F17" s="41">
        <f>'1__Current_Ground_Structure'!D79</f>
        <v>187.9</v>
      </c>
      <c r="G17" s="38">
        <f>((F17-F16)/2)+F16</f>
        <v>174.4</v>
      </c>
      <c r="H17" s="42">
        <f>'1__Current_Ground_Structure'!J13</f>
        <v>1800</v>
      </c>
      <c r="I17" s="77">
        <f>'1__Current_Ground_Structure'!K13</f>
        <v>1000000000</v>
      </c>
      <c r="J17" s="75">
        <f>'1__Current_Ground_Structure'!L13</f>
        <v>600</v>
      </c>
      <c r="K17" s="77">
        <f>'1__Current_Ground_Structure'!M13</f>
        <v>1000000000</v>
      </c>
      <c r="L17" s="89">
        <f>IF($D$7&gt;E17,D17*(((1/H17)+((1/I17)*(LOG($D$9/1))))*LN((G17+E17)/G17))+D17*(((1/J17)+((1/K17)*(LOG($D$9/1))))*(LN((G17+$D$7)/(G17+E17)))),D17*(((1/H17)+((1/I17)*(LOG($D$9/1))))*(LN((G17+$D$7)/G17))))</f>
        <v>0</v>
      </c>
      <c r="M17" s="90">
        <f>L17</f>
        <v>0</v>
      </c>
      <c r="N17" s="235"/>
      <c r="O17" s="3"/>
    </row>
    <row r="18" spans="2:15" ht="16.8" thickTop="1" x14ac:dyDescent="0.45">
      <c r="B18" s="233"/>
      <c r="C18" s="246" t="s">
        <v>76</v>
      </c>
      <c r="D18" s="246"/>
      <c r="E18" s="246"/>
      <c r="F18" s="246"/>
      <c r="G18" s="246"/>
      <c r="H18" s="246"/>
      <c r="I18" s="246"/>
      <c r="J18" s="246"/>
      <c r="K18" s="246"/>
      <c r="L18" s="246"/>
      <c r="M18" s="87">
        <f>M13</f>
        <v>0</v>
      </c>
      <c r="N18" s="235"/>
      <c r="O18" s="2"/>
    </row>
    <row r="19" spans="2:15" ht="15" thickBot="1" x14ac:dyDescent="0.35">
      <c r="B19" s="233"/>
      <c r="C19" s="245"/>
      <c r="D19" s="245"/>
      <c r="E19" s="245"/>
      <c r="F19" s="245"/>
      <c r="G19" s="245"/>
      <c r="H19" s="245"/>
      <c r="I19" s="245"/>
      <c r="J19" s="245"/>
      <c r="K19" s="245"/>
      <c r="L19" s="245"/>
      <c r="M19" s="245"/>
      <c r="N19" s="235"/>
      <c r="O19" s="2"/>
    </row>
    <row r="20" spans="2:15" x14ac:dyDescent="0.3">
      <c r="B20" s="233"/>
      <c r="C20" s="247" t="s">
        <v>95</v>
      </c>
      <c r="D20" s="248"/>
      <c r="E20" s="248"/>
      <c r="F20" s="248"/>
      <c r="G20" s="248"/>
      <c r="H20" s="248"/>
      <c r="I20" s="248"/>
      <c r="J20" s="248"/>
      <c r="K20" s="248"/>
      <c r="L20" s="248"/>
      <c r="M20" s="249"/>
      <c r="N20" s="235"/>
      <c r="O20" s="61"/>
    </row>
    <row r="21" spans="2:15" x14ac:dyDescent="0.3">
      <c r="B21" s="233"/>
      <c r="C21" s="240"/>
      <c r="D21" s="228"/>
      <c r="E21" s="228"/>
      <c r="F21" s="228"/>
      <c r="G21" s="228"/>
      <c r="H21" s="228"/>
      <c r="I21" s="228"/>
      <c r="J21" s="228"/>
      <c r="K21" s="228"/>
      <c r="L21" s="228"/>
      <c r="M21" s="241"/>
      <c r="N21" s="235"/>
      <c r="O21" s="1"/>
    </row>
    <row r="22" spans="2:15" x14ac:dyDescent="0.3">
      <c r="B22" s="233"/>
      <c r="C22" s="240"/>
      <c r="D22" s="228"/>
      <c r="E22" s="228"/>
      <c r="F22" s="228"/>
      <c r="G22" s="228"/>
      <c r="H22" s="228"/>
      <c r="I22" s="228"/>
      <c r="J22" s="228"/>
      <c r="K22" s="228"/>
      <c r="L22" s="228"/>
      <c r="M22" s="241"/>
      <c r="N22" s="235"/>
      <c r="O22" s="1"/>
    </row>
    <row r="23" spans="2:15" x14ac:dyDescent="0.3">
      <c r="B23" s="233"/>
      <c r="C23" s="240"/>
      <c r="D23" s="228"/>
      <c r="E23" s="228"/>
      <c r="F23" s="228"/>
      <c r="G23" s="228"/>
      <c r="H23" s="228"/>
      <c r="I23" s="228"/>
      <c r="J23" s="228"/>
      <c r="K23" s="228"/>
      <c r="L23" s="228"/>
      <c r="M23" s="241"/>
      <c r="N23" s="235"/>
      <c r="O23" s="1"/>
    </row>
    <row r="24" spans="2:15" x14ac:dyDescent="0.3">
      <c r="B24" s="233"/>
      <c r="C24" s="240"/>
      <c r="D24" s="228"/>
      <c r="E24" s="228"/>
      <c r="F24" s="228"/>
      <c r="G24" s="228"/>
      <c r="H24" s="228"/>
      <c r="I24" s="228"/>
      <c r="J24" s="228"/>
      <c r="K24" s="228"/>
      <c r="L24" s="228"/>
      <c r="M24" s="241"/>
      <c r="N24" s="235"/>
      <c r="O24" s="1"/>
    </row>
    <row r="25" spans="2:15" x14ac:dyDescent="0.3">
      <c r="B25" s="233"/>
      <c r="C25" s="240"/>
      <c r="D25" s="228"/>
      <c r="E25" s="228"/>
      <c r="F25" s="228"/>
      <c r="G25" s="228"/>
      <c r="H25" s="228"/>
      <c r="I25" s="228"/>
      <c r="J25" s="228"/>
      <c r="K25" s="228"/>
      <c r="L25" s="228"/>
      <c r="M25" s="241"/>
      <c r="N25" s="235"/>
    </row>
    <row r="26" spans="2:15" x14ac:dyDescent="0.3">
      <c r="B26" s="233"/>
      <c r="C26" s="240"/>
      <c r="D26" s="228"/>
      <c r="E26" s="228"/>
      <c r="F26" s="228"/>
      <c r="G26" s="228"/>
      <c r="H26" s="228"/>
      <c r="I26" s="228"/>
      <c r="J26" s="228"/>
      <c r="K26" s="228"/>
      <c r="L26" s="228"/>
      <c r="M26" s="241"/>
      <c r="N26" s="235"/>
    </row>
    <row r="27" spans="2:15" x14ac:dyDescent="0.3">
      <c r="B27" s="233"/>
      <c r="C27" s="240"/>
      <c r="D27" s="228"/>
      <c r="E27" s="228"/>
      <c r="F27" s="228"/>
      <c r="G27" s="228"/>
      <c r="H27" s="228"/>
      <c r="I27" s="228"/>
      <c r="J27" s="228"/>
      <c r="K27" s="228"/>
      <c r="L27" s="228"/>
      <c r="M27" s="241"/>
      <c r="N27" s="235"/>
    </row>
    <row r="28" spans="2:15" x14ac:dyDescent="0.3">
      <c r="B28" s="233"/>
      <c r="C28" s="240"/>
      <c r="D28" s="228"/>
      <c r="E28" s="228"/>
      <c r="F28" s="228"/>
      <c r="G28" s="228"/>
      <c r="H28" s="228"/>
      <c r="I28" s="228"/>
      <c r="J28" s="228"/>
      <c r="K28" s="228"/>
      <c r="L28" s="228"/>
      <c r="M28" s="241"/>
      <c r="N28" s="235"/>
    </row>
    <row r="29" spans="2:15" x14ac:dyDescent="0.3">
      <c r="B29" s="233"/>
      <c r="C29" s="240"/>
      <c r="D29" s="228"/>
      <c r="E29" s="228"/>
      <c r="F29" s="228"/>
      <c r="G29" s="228"/>
      <c r="H29" s="228"/>
      <c r="I29" s="228"/>
      <c r="J29" s="228"/>
      <c r="K29" s="228"/>
      <c r="L29" s="228"/>
      <c r="M29" s="241"/>
      <c r="N29" s="235"/>
    </row>
    <row r="30" spans="2:15" x14ac:dyDescent="0.3">
      <c r="B30" s="233"/>
      <c r="C30" s="240"/>
      <c r="D30" s="228"/>
      <c r="E30" s="228"/>
      <c r="F30" s="228"/>
      <c r="G30" s="228"/>
      <c r="H30" s="228"/>
      <c r="I30" s="228"/>
      <c r="J30" s="228"/>
      <c r="K30" s="228"/>
      <c r="L30" s="228"/>
      <c r="M30" s="241"/>
      <c r="N30" s="235"/>
    </row>
    <row r="31" spans="2:15" x14ac:dyDescent="0.3">
      <c r="B31" s="233"/>
      <c r="C31" s="240"/>
      <c r="D31" s="228"/>
      <c r="E31" s="228"/>
      <c r="F31" s="228"/>
      <c r="G31" s="228"/>
      <c r="H31" s="228"/>
      <c r="I31" s="228"/>
      <c r="J31" s="228"/>
      <c r="K31" s="228"/>
      <c r="L31" s="228"/>
      <c r="M31" s="241"/>
      <c r="N31" s="235"/>
    </row>
    <row r="32" spans="2:15" x14ac:dyDescent="0.3">
      <c r="B32" s="233"/>
      <c r="C32" s="240"/>
      <c r="D32" s="228"/>
      <c r="E32" s="228"/>
      <c r="F32" s="228"/>
      <c r="G32" s="228"/>
      <c r="H32" s="228"/>
      <c r="I32" s="228"/>
      <c r="J32" s="228"/>
      <c r="K32" s="228"/>
      <c r="L32" s="228"/>
      <c r="M32" s="241"/>
      <c r="N32" s="235"/>
    </row>
    <row r="33" spans="2:14" x14ac:dyDescent="0.3">
      <c r="B33" s="233"/>
      <c r="C33" s="240"/>
      <c r="D33" s="228"/>
      <c r="E33" s="228"/>
      <c r="F33" s="228"/>
      <c r="G33" s="228"/>
      <c r="H33" s="228"/>
      <c r="I33" s="228"/>
      <c r="J33" s="228"/>
      <c r="K33" s="228"/>
      <c r="L33" s="228"/>
      <c r="M33" s="241"/>
      <c r="N33" s="235"/>
    </row>
    <row r="34" spans="2:14" x14ac:dyDescent="0.3">
      <c r="B34" s="233"/>
      <c r="C34" s="240"/>
      <c r="D34" s="228"/>
      <c r="E34" s="228"/>
      <c r="F34" s="228"/>
      <c r="G34" s="228"/>
      <c r="H34" s="228"/>
      <c r="I34" s="228"/>
      <c r="J34" s="228"/>
      <c r="K34" s="228"/>
      <c r="L34" s="228"/>
      <c r="M34" s="241"/>
      <c r="N34" s="235"/>
    </row>
    <row r="35" spans="2:14" x14ac:dyDescent="0.3">
      <c r="B35" s="233"/>
      <c r="C35" s="240"/>
      <c r="D35" s="228"/>
      <c r="E35" s="228"/>
      <c r="F35" s="228"/>
      <c r="G35" s="228"/>
      <c r="H35" s="228"/>
      <c r="I35" s="228"/>
      <c r="J35" s="228"/>
      <c r="K35" s="228"/>
      <c r="L35" s="228"/>
      <c r="M35" s="241"/>
      <c r="N35" s="235"/>
    </row>
    <row r="36" spans="2:14" x14ac:dyDescent="0.3">
      <c r="B36" s="233"/>
      <c r="C36" s="240"/>
      <c r="D36" s="228"/>
      <c r="E36" s="228"/>
      <c r="F36" s="228"/>
      <c r="G36" s="228"/>
      <c r="H36" s="228"/>
      <c r="I36" s="228"/>
      <c r="J36" s="228"/>
      <c r="K36" s="228"/>
      <c r="L36" s="228"/>
      <c r="M36" s="241"/>
      <c r="N36" s="235"/>
    </row>
    <row r="37" spans="2:14" x14ac:dyDescent="0.3">
      <c r="B37" s="233"/>
      <c r="C37" s="240"/>
      <c r="D37" s="228"/>
      <c r="E37" s="228"/>
      <c r="F37" s="228"/>
      <c r="G37" s="228"/>
      <c r="H37" s="228"/>
      <c r="I37" s="228"/>
      <c r="J37" s="228"/>
      <c r="K37" s="228"/>
      <c r="L37" s="228"/>
      <c r="M37" s="241"/>
      <c r="N37" s="235"/>
    </row>
    <row r="38" spans="2:14" x14ac:dyDescent="0.3">
      <c r="B38" s="233"/>
      <c r="C38" s="240"/>
      <c r="D38" s="228"/>
      <c r="E38" s="228"/>
      <c r="F38" s="228"/>
      <c r="G38" s="228"/>
      <c r="H38" s="228"/>
      <c r="I38" s="228"/>
      <c r="J38" s="228"/>
      <c r="K38" s="228"/>
      <c r="L38" s="228"/>
      <c r="M38" s="241"/>
      <c r="N38" s="235"/>
    </row>
    <row r="39" spans="2:14" x14ac:dyDescent="0.3">
      <c r="B39" s="233"/>
      <c r="C39" s="240"/>
      <c r="D39" s="228"/>
      <c r="E39" s="228"/>
      <c r="F39" s="228"/>
      <c r="G39" s="228"/>
      <c r="H39" s="228"/>
      <c r="I39" s="228"/>
      <c r="J39" s="228"/>
      <c r="K39" s="228"/>
      <c r="L39" s="228"/>
      <c r="M39" s="241"/>
      <c r="N39" s="235"/>
    </row>
    <row r="40" spans="2:14" x14ac:dyDescent="0.3">
      <c r="B40" s="233"/>
      <c r="C40" s="240"/>
      <c r="D40" s="228"/>
      <c r="E40" s="228"/>
      <c r="F40" s="228"/>
      <c r="G40" s="228"/>
      <c r="H40" s="228"/>
      <c r="I40" s="228"/>
      <c r="J40" s="228"/>
      <c r="K40" s="228"/>
      <c r="L40" s="228"/>
      <c r="M40" s="241"/>
      <c r="N40" s="235"/>
    </row>
    <row r="41" spans="2:14" x14ac:dyDescent="0.3">
      <c r="B41" s="233"/>
      <c r="C41" s="240"/>
      <c r="D41" s="228"/>
      <c r="E41" s="228"/>
      <c r="F41" s="228"/>
      <c r="G41" s="228"/>
      <c r="H41" s="228"/>
      <c r="I41" s="228"/>
      <c r="J41" s="228"/>
      <c r="K41" s="228"/>
      <c r="L41" s="228"/>
      <c r="M41" s="241"/>
      <c r="N41" s="235"/>
    </row>
    <row r="42" spans="2:14" x14ac:dyDescent="0.3">
      <c r="B42" s="233"/>
      <c r="C42" s="240"/>
      <c r="D42" s="228"/>
      <c r="E42" s="228"/>
      <c r="F42" s="228"/>
      <c r="G42" s="228"/>
      <c r="H42" s="228"/>
      <c r="I42" s="228"/>
      <c r="J42" s="228"/>
      <c r="K42" s="228"/>
      <c r="L42" s="228"/>
      <c r="M42" s="241"/>
      <c r="N42" s="235"/>
    </row>
    <row r="43" spans="2:14" x14ac:dyDescent="0.3">
      <c r="B43" s="233"/>
      <c r="C43" s="240"/>
      <c r="D43" s="228"/>
      <c r="E43" s="228"/>
      <c r="F43" s="228"/>
      <c r="G43" s="228"/>
      <c r="H43" s="228"/>
      <c r="I43" s="228"/>
      <c r="J43" s="228"/>
      <c r="K43" s="228"/>
      <c r="L43" s="228"/>
      <c r="M43" s="241"/>
      <c r="N43" s="235"/>
    </row>
    <row r="44" spans="2:14" x14ac:dyDescent="0.3">
      <c r="B44" s="233"/>
      <c r="C44" s="240"/>
      <c r="D44" s="228"/>
      <c r="E44" s="228"/>
      <c r="F44" s="228"/>
      <c r="G44" s="228"/>
      <c r="H44" s="228"/>
      <c r="I44" s="228"/>
      <c r="J44" s="228"/>
      <c r="K44" s="228"/>
      <c r="L44" s="228"/>
      <c r="M44" s="241"/>
      <c r="N44" s="235"/>
    </row>
    <row r="45" spans="2:14" x14ac:dyDescent="0.3">
      <c r="B45" s="233"/>
      <c r="C45" s="240"/>
      <c r="D45" s="228"/>
      <c r="E45" s="228"/>
      <c r="F45" s="228"/>
      <c r="G45" s="228"/>
      <c r="H45" s="228"/>
      <c r="I45" s="228"/>
      <c r="J45" s="228"/>
      <c r="K45" s="228"/>
      <c r="L45" s="228"/>
      <c r="M45" s="241"/>
      <c r="N45" s="235"/>
    </row>
    <row r="46" spans="2:14" x14ac:dyDescent="0.3">
      <c r="B46" s="233"/>
      <c r="C46" s="240"/>
      <c r="D46" s="228"/>
      <c r="E46" s="228"/>
      <c r="F46" s="228"/>
      <c r="G46" s="228"/>
      <c r="H46" s="228"/>
      <c r="I46" s="228"/>
      <c r="J46" s="228"/>
      <c r="K46" s="228"/>
      <c r="L46" s="228"/>
      <c r="M46" s="241"/>
      <c r="N46" s="235"/>
    </row>
    <row r="47" spans="2:14" x14ac:dyDescent="0.3">
      <c r="B47" s="233"/>
      <c r="C47" s="240"/>
      <c r="D47" s="228"/>
      <c r="E47" s="228"/>
      <c r="F47" s="228"/>
      <c r="G47" s="228"/>
      <c r="H47" s="228"/>
      <c r="I47" s="228"/>
      <c r="J47" s="228"/>
      <c r="K47" s="228"/>
      <c r="L47" s="228"/>
      <c r="M47" s="241"/>
      <c r="N47" s="235"/>
    </row>
    <row r="48" spans="2:14" x14ac:dyDescent="0.3">
      <c r="B48" s="233"/>
      <c r="C48" s="240"/>
      <c r="D48" s="228"/>
      <c r="E48" s="228"/>
      <c r="F48" s="228"/>
      <c r="G48" s="228"/>
      <c r="H48" s="228"/>
      <c r="I48" s="228"/>
      <c r="J48" s="228"/>
      <c r="K48" s="228"/>
      <c r="L48" s="228"/>
      <c r="M48" s="241"/>
      <c r="N48" s="235"/>
    </row>
    <row r="49" spans="2:14" ht="15" thickBot="1" x14ac:dyDescent="0.35">
      <c r="B49" s="233"/>
      <c r="C49" s="242"/>
      <c r="D49" s="243"/>
      <c r="E49" s="243"/>
      <c r="F49" s="243"/>
      <c r="G49" s="243"/>
      <c r="H49" s="243"/>
      <c r="I49" s="243"/>
      <c r="J49" s="243"/>
      <c r="K49" s="243"/>
      <c r="L49" s="243"/>
      <c r="M49" s="244"/>
      <c r="N49" s="235"/>
    </row>
    <row r="50" spans="2:14" ht="12.6" customHeight="1" x14ac:dyDescent="0.3">
      <c r="B50" s="233"/>
      <c r="C50" s="237"/>
      <c r="D50" s="237"/>
      <c r="E50" s="237"/>
      <c r="F50" s="237"/>
      <c r="G50" s="237"/>
      <c r="H50" s="237"/>
      <c r="I50" s="237"/>
      <c r="J50" s="237"/>
      <c r="K50" s="237"/>
      <c r="L50" s="237"/>
      <c r="M50" s="237"/>
      <c r="N50" s="235"/>
    </row>
  </sheetData>
  <sheetProtection algorithmName="SHA-512" hashValue="yoRJ5XIOUn1wgx4yPwwTbWreLSdRWoju96+kvMt6/poLsPv3YiFqH8lqZN5S1Ng3rmfUfoaqM/+vnP0h/AVw3g==" saltValue="BbQ7rxa9SI+x7sR4fVDWZg==" spinCount="100000" sheet="1" objects="1" scenarios="1"/>
  <mergeCells count="15">
    <mergeCell ref="B2:N2"/>
    <mergeCell ref="B3:N3"/>
    <mergeCell ref="C4:D4"/>
    <mergeCell ref="N4:N50"/>
    <mergeCell ref="C50:M50"/>
    <mergeCell ref="B4:B50"/>
    <mergeCell ref="C11:M11"/>
    <mergeCell ref="C8:M8"/>
    <mergeCell ref="C21:M49"/>
    <mergeCell ref="C19:M19"/>
    <mergeCell ref="C18:L18"/>
    <mergeCell ref="C20:M20"/>
    <mergeCell ref="E4:M7"/>
    <mergeCell ref="C10:M10"/>
    <mergeCell ref="E9:M9"/>
  </mergeCells>
  <pageMargins left="0.70000000000000007" right="0.70000000000000007" top="0.75" bottom="0.75" header="0.30000000000000004" footer="0.30000000000000004"/>
  <pageSetup paperSize="9" scale="6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Introduction</vt:lpstr>
      <vt:lpstr>Soil_charateristics</vt:lpstr>
      <vt:lpstr>1__Current_Ground_Structure</vt:lpstr>
      <vt:lpstr>2__Load new road construction</vt:lpstr>
      <vt:lpstr>2_Pictures</vt:lpstr>
      <vt:lpstr>3__Output_soil_subsidence</vt:lpstr>
      <vt:lpstr>Afbeeldingen_solutions</vt:lpstr>
      <vt:lpstr>'1__Current_Ground_Structure'!Afdrukbereik</vt:lpstr>
      <vt:lpstr>'2__Load new road construction'!Afdrukbereik</vt:lpstr>
      <vt:lpstr>'3__Output_soil_subsidence'!Afdrukbereik</vt:lpstr>
      <vt:lpstr>Introduction!Afdrukbereik</vt:lpstr>
      <vt:lpstr>Soil_charateristics!Afdrukbereik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Laurens</dc:creator>
  <cp:lastModifiedBy>Laurens</cp:lastModifiedBy>
  <cp:lastPrinted>2019-01-30T10:58:32Z</cp:lastPrinted>
  <dcterms:created xsi:type="dcterms:W3CDTF">2019-01-22T18:27:53Z</dcterms:created>
  <dcterms:modified xsi:type="dcterms:W3CDTF">2019-01-30T14:10:29Z</dcterms:modified>
</cp:coreProperties>
</file>